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'Sheet1'!$A$1:$X$73</definedName>
  </definedNames>
  <calcPr fullCalcOnLoad="1"/>
</workbook>
</file>

<file path=xl/sharedStrings.xml><?xml version="1.0" encoding="utf-8"?>
<sst xmlns="http://schemas.openxmlformats.org/spreadsheetml/2006/main" count="76" uniqueCount="63">
  <si>
    <t>SAT</t>
  </si>
  <si>
    <t>SUN</t>
  </si>
  <si>
    <t>MON</t>
  </si>
  <si>
    <t>TUES</t>
  </si>
  <si>
    <t>WED</t>
  </si>
  <si>
    <t>THURS</t>
  </si>
  <si>
    <t>FRI</t>
  </si>
  <si>
    <t>WEEK</t>
  </si>
  <si>
    <t>COMMENTS</t>
  </si>
  <si>
    <t>TRAINING TIME TOTAL:</t>
  </si>
  <si>
    <t>Zone 2</t>
  </si>
  <si>
    <t>Zone 3</t>
  </si>
  <si>
    <t>Zone 4</t>
  </si>
  <si>
    <t>FAST GRP</t>
  </si>
  <si>
    <t>Base 1 Total:</t>
  </si>
  <si>
    <t>Base 2 Total:</t>
  </si>
  <si>
    <t>Base 3 Total:</t>
  </si>
  <si>
    <t>Base 4 Total:</t>
  </si>
  <si>
    <t>Build 1 Total:</t>
  </si>
  <si>
    <t>Build 2 Total:</t>
  </si>
  <si>
    <t>Build 3 Total:</t>
  </si>
  <si>
    <t>Build 4 Total:</t>
  </si>
  <si>
    <t>Same as microcycle Build 2 but allow less recovery time between intervals.</t>
  </si>
  <si>
    <t>TRAINING TIME TO BE SPENT IN EACH ZONE</t>
  </si>
  <si>
    <t>INPUT TARGET YEAR-HOURS:</t>
  </si>
  <si>
    <t>DEFINED TRAINING TIME (DFT) (HRS)</t>
  </si>
  <si>
    <t>CUSTOM TRAINING PLAN</t>
  </si>
  <si>
    <t>MICRO CYCLE</t>
  </si>
  <si>
    <t>PEAK MACRO</t>
  </si>
  <si>
    <t>BUILD MACRO CYCLE</t>
  </si>
  <si>
    <t>Build 4      (4 weeks)</t>
  </si>
  <si>
    <t>Build 3      (4 weeks)</t>
  </si>
  <si>
    <t>Build 2      (4 weeks)</t>
  </si>
  <si>
    <t>Build 1      (4 weeks)</t>
  </si>
  <si>
    <t>Peak        (4 weeks)</t>
  </si>
  <si>
    <t>Base 4       (4 weeks)</t>
  </si>
  <si>
    <t>Base 3       (4 weeks)</t>
  </si>
  <si>
    <t>Base 2       (4 weeks)</t>
  </si>
  <si>
    <t>Base 1       (4 weeks)</t>
  </si>
  <si>
    <t>BASE MACRO CYCLE</t>
  </si>
  <si>
    <t>BASE MACRO C TOTAL:</t>
  </si>
  <si>
    <t>BUILD MACRO C TOTAL:</t>
  </si>
  <si>
    <t>PEAK MACRO C TOTAL:</t>
  </si>
  <si>
    <t>Intensity below day before - medium distance hard enduro.</t>
  </si>
  <si>
    <t>Sprints or short intense intervals</t>
  </si>
  <si>
    <t>Do a workout similar to what you did Wednesday</t>
  </si>
  <si>
    <t>Low level endurance (may need to do recovery ride for week-end)</t>
  </si>
  <si>
    <t>PLANNED DAILY ROUTINE AND TARGET HOURS</t>
  </si>
  <si>
    <t>TOTAL WEEKLY PLANNED TARGET</t>
  </si>
  <si>
    <t>Rest / recovery ride</t>
  </si>
  <si>
    <t>PLANNED TOTAL TRAINING TIME (HRS)</t>
  </si>
  <si>
    <t>Zone 1: 65-75% of LT; Zone 2: 75-85% of LT; Zone 3: 85-90% of LT; Zone 4: 95-105% of LT; Zone 5: max effort.                      Note: FAST GRP to include racing or fast group rides.</t>
  </si>
  <si>
    <t>Z 4 workouts: 6% speed work, 11% intervals (hills and flats).</t>
  </si>
  <si>
    <t>Z 4 workouts: 6% speed work, 12% intervals (hills and flats).</t>
  </si>
  <si>
    <r>
      <t>FLEXIBLE Z2 (Add to DFT)</t>
    </r>
    <r>
      <rPr>
        <b/>
        <sz val="8"/>
        <rFont val="Arial"/>
        <family val="2"/>
      </rPr>
      <t xml:space="preserve"> Aim for rides 2.0 hrs increase to 4.5 plus hrs during Build and Peak</t>
    </r>
  </si>
  <si>
    <t>&lt;-------------------------------------------------------------------------------------------&gt;</t>
  </si>
  <si>
    <t>You decide how to apportion Z2 and Z3 efforts among rides.</t>
  </si>
  <si>
    <t>Z 4 workouts: intervals at 10 BPM below LT.</t>
  </si>
  <si>
    <t>Z 4: 6% speed work, 12% intervals (hills and flats) at 5 BPM below LT.</t>
  </si>
  <si>
    <t>Z 4: 6% speed work, 11% intervals (hills and flats) at 5 BPM below LT.</t>
  </si>
  <si>
    <t>Long endurance ride</t>
  </si>
  <si>
    <t>The weekly training routine outline alongside assumes a long, fast competitive ride on Sunday. This approach is applied throughout the programme, the only difference from one microcycle to the next is the level of intensity.</t>
  </si>
  <si>
    <t>Long, fast, competitive group ride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</si>
</sst>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sz val="14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167" fontId="3" fillId="2" borderId="1" xfId="0" applyNumberFormat="1" applyFont="1" applyFill="1" applyBorder="1" applyAlignment="1">
      <alignment horizontal="center"/>
    </xf>
    <xf numFmtId="167" fontId="3" fillId="2" borderId="2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167" fontId="3" fillId="2" borderId="5" xfId="0" applyNumberFormat="1" applyFont="1" applyFill="1" applyBorder="1" applyAlignment="1">
      <alignment horizontal="center"/>
    </xf>
    <xf numFmtId="167" fontId="3" fillId="2" borderId="5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5" xfId="0" applyFill="1" applyBorder="1" applyAlignment="1">
      <alignment horizontal="center"/>
    </xf>
    <xf numFmtId="167" fontId="0" fillId="0" borderId="2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3" borderId="0" xfId="0" applyNumberFormat="1" applyFill="1" applyBorder="1" applyAlignment="1">
      <alignment/>
    </xf>
    <xf numFmtId="167" fontId="0" fillId="3" borderId="8" xfId="0" applyNumberFormat="1" applyFill="1" applyBorder="1" applyAlignment="1">
      <alignment/>
    </xf>
    <xf numFmtId="167" fontId="0" fillId="0" borderId="7" xfId="0" applyNumberFormat="1" applyFill="1" applyBorder="1" applyAlignment="1">
      <alignment horizontal="center"/>
    </xf>
    <xf numFmtId="167" fontId="0" fillId="0" borderId="9" xfId="0" applyNumberFormat="1" applyFill="1" applyBorder="1" applyAlignment="1">
      <alignment horizontal="center"/>
    </xf>
    <xf numFmtId="167" fontId="0" fillId="3" borderId="8" xfId="0" applyNumberFormat="1" applyFill="1" applyBorder="1" applyAlignment="1">
      <alignment wrapText="1"/>
    </xf>
    <xf numFmtId="167" fontId="6" fillId="2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wrapText="1"/>
    </xf>
    <xf numFmtId="167" fontId="6" fillId="2" borderId="4" xfId="0" applyNumberFormat="1" applyFont="1" applyFill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167" fontId="6" fillId="2" borderId="7" xfId="0" applyNumberFormat="1" applyFont="1" applyFill="1" applyBorder="1" applyAlignment="1">
      <alignment horizontal="center"/>
    </xf>
    <xf numFmtId="167" fontId="6" fillId="2" borderId="9" xfId="0" applyNumberFormat="1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horizontal="center" vertical="center"/>
    </xf>
    <xf numFmtId="167" fontId="7" fillId="0" borderId="9" xfId="0" applyNumberFormat="1" applyFont="1" applyFill="1" applyBorder="1" applyAlignment="1">
      <alignment horizontal="center"/>
    </xf>
    <xf numFmtId="167" fontId="7" fillId="0" borderId="9" xfId="0" applyNumberFormat="1" applyFont="1" applyBorder="1" applyAlignment="1">
      <alignment horizontal="center"/>
    </xf>
    <xf numFmtId="167" fontId="7" fillId="0" borderId="7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0" fillId="3" borderId="0" xfId="0" applyFill="1" applyBorder="1" applyAlignment="1">
      <alignment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0" fillId="3" borderId="4" xfId="0" applyFill="1" applyBorder="1" applyAlignment="1">
      <alignment/>
    </xf>
    <xf numFmtId="0" fontId="10" fillId="3" borderId="4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right" wrapText="1"/>
    </xf>
    <xf numFmtId="0" fontId="0" fillId="3" borderId="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10" fillId="3" borderId="0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textRotation="90"/>
    </xf>
    <xf numFmtId="0" fontId="0" fillId="3" borderId="8" xfId="0" applyFill="1" applyBorder="1" applyAlignment="1">
      <alignment/>
    </xf>
    <xf numFmtId="0" fontId="4" fillId="3" borderId="8" xfId="0" applyFont="1" applyFill="1" applyBorder="1" applyAlignment="1">
      <alignment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6" xfId="0" applyFill="1" applyBorder="1" applyAlignment="1">
      <alignment wrapText="1"/>
    </xf>
    <xf numFmtId="167" fontId="3" fillId="3" borderId="4" xfId="0" applyNumberFormat="1" applyFont="1" applyFill="1" applyBorder="1" applyAlignment="1">
      <alignment horizontal="center" vertical="center"/>
    </xf>
    <xf numFmtId="16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wrapText="1"/>
    </xf>
    <xf numFmtId="167" fontId="3" fillId="2" borderId="11" xfId="0" applyNumberFormat="1" applyFont="1" applyFill="1" applyBorder="1" applyAlignment="1">
      <alignment horizontal="center" vertical="center"/>
    </xf>
    <xf numFmtId="167" fontId="3" fillId="3" borderId="8" xfId="0" applyNumberFormat="1" applyFont="1" applyFill="1" applyBorder="1" applyAlignment="1">
      <alignment horizontal="center" vertical="center"/>
    </xf>
    <xf numFmtId="167" fontId="0" fillId="3" borderId="8" xfId="0" applyNumberFormat="1" applyFill="1" applyBorder="1" applyAlignment="1">
      <alignment horizontal="right" wrapText="1"/>
    </xf>
    <xf numFmtId="0" fontId="0" fillId="3" borderId="13" xfId="0" applyFill="1" applyBorder="1" applyAlignment="1">
      <alignment horizontal="center"/>
    </xf>
    <xf numFmtId="167" fontId="0" fillId="3" borderId="0" xfId="0" applyNumberFormat="1" applyFill="1" applyBorder="1" applyAlignment="1">
      <alignment horizontal="right" wrapText="1"/>
    </xf>
    <xf numFmtId="0" fontId="0" fillId="3" borderId="1" xfId="0" applyFill="1" applyBorder="1" applyAlignment="1">
      <alignment horizontal="center"/>
    </xf>
    <xf numFmtId="167" fontId="6" fillId="2" borderId="12" xfId="0" applyNumberFormat="1" applyFont="1" applyFill="1" applyBorder="1" applyAlignment="1">
      <alignment horizontal="center" vertical="center"/>
    </xf>
    <xf numFmtId="167" fontId="6" fillId="2" borderId="5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3" fillId="3" borderId="6" xfId="0" applyFont="1" applyFill="1" applyBorder="1" applyAlignment="1">
      <alignment horizontal="right" wrapText="1"/>
    </xf>
    <xf numFmtId="167" fontId="3" fillId="2" borderId="13" xfId="0" applyNumberFormat="1" applyFont="1" applyFill="1" applyBorder="1" applyAlignment="1">
      <alignment horizontal="center" vertical="center"/>
    </xf>
    <xf numFmtId="167" fontId="3" fillId="3" borderId="8" xfId="0" applyNumberFormat="1" applyFont="1" applyFill="1" applyBorder="1" applyAlignment="1">
      <alignment horizontal="center"/>
    </xf>
    <xf numFmtId="167" fontId="3" fillId="3" borderId="13" xfId="0" applyNumberFormat="1" applyFont="1" applyFill="1" applyBorder="1" applyAlignment="1">
      <alignment horizontal="center" vertical="center"/>
    </xf>
    <xf numFmtId="167" fontId="3" fillId="2" borderId="14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right" wrapText="1"/>
    </xf>
    <xf numFmtId="167" fontId="3" fillId="2" borderId="9" xfId="0" applyNumberFormat="1" applyFont="1" applyFill="1" applyBorder="1" applyAlignment="1">
      <alignment horizontal="center"/>
    </xf>
    <xf numFmtId="167" fontId="3" fillId="2" borderId="9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center" vertical="center"/>
    </xf>
    <xf numFmtId="167" fontId="6" fillId="2" borderId="1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textRotation="90" wrapText="1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>
      <alignment/>
    </xf>
    <xf numFmtId="0" fontId="8" fillId="3" borderId="8" xfId="0" applyFont="1" applyFill="1" applyBorder="1" applyAlignment="1">
      <alignment wrapText="1"/>
    </xf>
    <xf numFmtId="0" fontId="0" fillId="3" borderId="0" xfId="0" applyFill="1" applyBorder="1" applyAlignment="1">
      <alignment horizontal="center" vertical="center" textRotation="90" wrapText="1"/>
    </xf>
    <xf numFmtId="167" fontId="9" fillId="3" borderId="0" xfId="0" applyNumberFormat="1" applyFont="1" applyFill="1" applyBorder="1" applyAlignment="1">
      <alignment horizontal="center" vertical="center" wrapText="1"/>
    </xf>
    <xf numFmtId="167" fontId="6" fillId="2" borderId="11" xfId="0" applyNumberFormat="1" applyFont="1" applyFill="1" applyBorder="1" applyAlignment="1">
      <alignment horizontal="center"/>
    </xf>
    <xf numFmtId="167" fontId="6" fillId="2" borderId="10" xfId="0" applyNumberFormat="1" applyFont="1" applyFill="1" applyBorder="1" applyAlignment="1">
      <alignment horizontal="center"/>
    </xf>
    <xf numFmtId="167" fontId="6" fillId="2" borderId="13" xfId="0" applyNumberFormat="1" applyFont="1" applyFill="1" applyBorder="1" applyAlignment="1">
      <alignment horizontal="center" vertical="center"/>
    </xf>
    <xf numFmtId="167" fontId="3" fillId="2" borderId="7" xfId="0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/>
    </xf>
    <xf numFmtId="167" fontId="6" fillId="3" borderId="4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textRotation="90" wrapText="1"/>
    </xf>
    <xf numFmtId="167" fontId="0" fillId="3" borderId="1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67" fontId="0" fillId="3" borderId="6" xfId="0" applyNumberFormat="1" applyFill="1" applyBorder="1" applyAlignment="1">
      <alignment horizontal="center"/>
    </xf>
    <xf numFmtId="0" fontId="4" fillId="3" borderId="13" xfId="0" applyFont="1" applyFill="1" applyBorder="1" applyAlignment="1">
      <alignment textRotation="90" wrapText="1"/>
    </xf>
    <xf numFmtId="0" fontId="0" fillId="3" borderId="13" xfId="0" applyFill="1" applyBorder="1" applyAlignment="1">
      <alignment/>
    </xf>
    <xf numFmtId="0" fontId="0" fillId="3" borderId="6" xfId="0" applyFill="1" applyBorder="1" applyAlignment="1">
      <alignment horizontal="center" vertical="center" wrapText="1"/>
    </xf>
    <xf numFmtId="167" fontId="0" fillId="2" borderId="9" xfId="0" applyNumberFormat="1" applyFont="1" applyFill="1" applyBorder="1" applyAlignment="1">
      <alignment horizontal="center"/>
    </xf>
    <xf numFmtId="167" fontId="0" fillId="2" borderId="9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 wrapText="1"/>
    </xf>
    <xf numFmtId="167" fontId="0" fillId="0" borderId="1" xfId="0" applyNumberFormat="1" applyFill="1" applyBorder="1" applyAlignment="1">
      <alignment/>
    </xf>
    <xf numFmtId="0" fontId="0" fillId="3" borderId="13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7" fontId="0" fillId="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67" fontId="9" fillId="3" borderId="1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4" fillId="3" borderId="8" xfId="0" applyFont="1" applyFill="1" applyBorder="1" applyAlignment="1">
      <alignment textRotation="90" wrapText="1"/>
    </xf>
    <xf numFmtId="0" fontId="0" fillId="3" borderId="8" xfId="0" applyFill="1" applyBorder="1" applyAlignment="1">
      <alignment/>
    </xf>
    <xf numFmtId="0" fontId="0" fillId="3" borderId="4" xfId="0" applyFill="1" applyBorder="1" applyAlignment="1">
      <alignment/>
    </xf>
    <xf numFmtId="0" fontId="10" fillId="3" borderId="15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" borderId="15" xfId="0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0" fillId="3" borderId="15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5" fillId="3" borderId="10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horizontal="right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10" fillId="3" borderId="3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textRotation="90" wrapText="1"/>
    </xf>
    <xf numFmtId="0" fontId="4" fillId="3" borderId="9" xfId="0" applyFont="1" applyFill="1" applyBorder="1" applyAlignment="1">
      <alignment textRotation="90" wrapText="1"/>
    </xf>
    <xf numFmtId="0" fontId="10" fillId="3" borderId="14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167" fontId="9" fillId="3" borderId="3" xfId="0" applyNumberFormat="1" applyFont="1" applyFill="1" applyBorder="1" applyAlignment="1">
      <alignment horizontal="center" vertical="center" wrapText="1"/>
    </xf>
    <xf numFmtId="167" fontId="9" fillId="3" borderId="9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0" fillId="3" borderId="9" xfId="0" applyFill="1" applyBorder="1" applyAlignment="1">
      <alignment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3" borderId="15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5" fillId="3" borderId="15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72"/>
  <sheetViews>
    <sheetView tabSelected="1" workbookViewId="0" topLeftCell="A1">
      <selection activeCell="C3" sqref="C3"/>
    </sheetView>
  </sheetViews>
  <sheetFormatPr defaultColWidth="9.140625" defaultRowHeight="12.75"/>
  <cols>
    <col min="1" max="1" width="1.7109375" style="0" customWidth="1"/>
    <col min="2" max="2" width="1.28515625" style="0" customWidth="1"/>
    <col min="3" max="3" width="6.28125" style="0" customWidth="1"/>
    <col min="4" max="4" width="6.421875" style="0" customWidth="1"/>
    <col min="5" max="5" width="5.421875" style="0" customWidth="1"/>
    <col min="6" max="6" width="1.28515625" style="0" customWidth="1"/>
    <col min="7" max="7" width="7.28125" style="0" customWidth="1"/>
    <col min="8" max="8" width="7.421875" style="0" customWidth="1"/>
    <col min="9" max="9" width="7.28125" style="0" customWidth="1"/>
    <col min="10" max="10" width="8.7109375" style="0" customWidth="1"/>
    <col min="11" max="11" width="8.8515625" style="0" customWidth="1"/>
    <col min="12" max="12" width="5.8515625" style="0" customWidth="1"/>
    <col min="13" max="13" width="18.57421875" style="0" customWidth="1"/>
    <col min="14" max="14" width="1.1484375" style="0" customWidth="1"/>
    <col min="15" max="19" width="6.140625" style="0" customWidth="1"/>
    <col min="20" max="20" width="6.421875" style="0" customWidth="1"/>
    <col min="21" max="21" width="5.8515625" style="0" customWidth="1"/>
    <col min="22" max="22" width="7.00390625" style="0" customWidth="1"/>
    <col min="23" max="23" width="1.1484375" style="0" customWidth="1"/>
    <col min="24" max="24" width="1.8515625" style="0" customWidth="1"/>
  </cols>
  <sheetData>
    <row r="1" ht="6.75" customHeight="1"/>
    <row r="2" spans="2:23" ht="17.25" customHeight="1">
      <c r="B2" s="65"/>
      <c r="C2" s="173" t="s">
        <v>26</v>
      </c>
      <c r="D2" s="174"/>
      <c r="E2" s="174"/>
      <c r="F2" s="175"/>
      <c r="G2" s="174"/>
      <c r="H2" s="174"/>
      <c r="I2" s="174"/>
      <c r="J2" s="174"/>
      <c r="K2" s="174"/>
      <c r="L2" s="174"/>
      <c r="M2" s="174"/>
      <c r="N2" s="175"/>
      <c r="O2" s="174"/>
      <c r="P2" s="174"/>
      <c r="Q2" s="174"/>
      <c r="R2" s="174"/>
      <c r="S2" s="174"/>
      <c r="T2" s="174"/>
      <c r="U2" s="174"/>
      <c r="V2" s="174"/>
      <c r="W2" s="176"/>
    </row>
    <row r="3" spans="2:23" ht="16.5" customHeight="1">
      <c r="B3" s="64"/>
      <c r="C3" s="62">
        <v>150</v>
      </c>
      <c r="D3" s="157" t="s">
        <v>27</v>
      </c>
      <c r="E3" s="168" t="s">
        <v>7</v>
      </c>
      <c r="F3" s="39"/>
      <c r="G3" s="181" t="s">
        <v>23</v>
      </c>
      <c r="H3" s="182"/>
      <c r="I3" s="182"/>
      <c r="J3" s="182"/>
      <c r="K3" s="183"/>
      <c r="L3" s="157" t="s">
        <v>50</v>
      </c>
      <c r="M3" s="127" t="s">
        <v>8</v>
      </c>
      <c r="N3" s="4"/>
      <c r="O3" s="184" t="s">
        <v>47</v>
      </c>
      <c r="P3" s="185"/>
      <c r="Q3" s="185"/>
      <c r="R3" s="185"/>
      <c r="S3" s="185"/>
      <c r="T3" s="185"/>
      <c r="U3" s="186"/>
      <c r="V3" s="157" t="s">
        <v>48</v>
      </c>
      <c r="W3" s="64"/>
    </row>
    <row r="4" spans="2:23" ht="15.75" customHeight="1">
      <c r="B4" s="64"/>
      <c r="C4" s="153" t="s">
        <v>24</v>
      </c>
      <c r="D4" s="158"/>
      <c r="E4" s="158"/>
      <c r="F4" s="39"/>
      <c r="G4" s="192" t="s">
        <v>25</v>
      </c>
      <c r="H4" s="193"/>
      <c r="I4" s="193"/>
      <c r="J4" s="194"/>
      <c r="K4" s="198" t="s">
        <v>54</v>
      </c>
      <c r="L4" s="178"/>
      <c r="M4" s="199" t="s">
        <v>61</v>
      </c>
      <c r="N4" s="4"/>
      <c r="O4" s="164" t="s">
        <v>49</v>
      </c>
      <c r="P4" s="164" t="s">
        <v>44</v>
      </c>
      <c r="Q4" s="164" t="s">
        <v>43</v>
      </c>
      <c r="R4" s="164" t="s">
        <v>60</v>
      </c>
      <c r="S4" s="164" t="s">
        <v>46</v>
      </c>
      <c r="T4" s="164" t="s">
        <v>45</v>
      </c>
      <c r="U4" s="164" t="s">
        <v>62</v>
      </c>
      <c r="V4" s="158"/>
      <c r="W4" s="11"/>
    </row>
    <row r="5" spans="2:23" ht="130.5" customHeight="1">
      <c r="B5" s="64"/>
      <c r="C5" s="154"/>
      <c r="D5" s="166"/>
      <c r="E5" s="169"/>
      <c r="F5" s="4"/>
      <c r="G5" s="195" t="s">
        <v>51</v>
      </c>
      <c r="H5" s="196"/>
      <c r="I5" s="196"/>
      <c r="J5" s="197"/>
      <c r="K5" s="160"/>
      <c r="L5" s="178"/>
      <c r="M5" s="199"/>
      <c r="N5" s="9"/>
      <c r="O5" s="165"/>
      <c r="P5" s="165"/>
      <c r="Q5" s="165"/>
      <c r="R5" s="165"/>
      <c r="S5" s="165"/>
      <c r="T5" s="165"/>
      <c r="U5" s="165"/>
      <c r="V5" s="158"/>
      <c r="W5" s="11"/>
    </row>
    <row r="6" spans="2:23" ht="16.5" customHeight="1">
      <c r="B6" s="64"/>
      <c r="C6" s="179"/>
      <c r="D6" s="167"/>
      <c r="E6" s="170"/>
      <c r="F6" s="4"/>
      <c r="G6" s="35" t="s">
        <v>10</v>
      </c>
      <c r="H6" s="26" t="s">
        <v>11</v>
      </c>
      <c r="I6" s="26" t="s">
        <v>12</v>
      </c>
      <c r="J6" s="36" t="s">
        <v>13</v>
      </c>
      <c r="K6" s="161"/>
      <c r="L6" s="159"/>
      <c r="M6" s="200"/>
      <c r="N6" s="9"/>
      <c r="O6" s="37" t="s">
        <v>2</v>
      </c>
      <c r="P6" s="37" t="s">
        <v>3</v>
      </c>
      <c r="Q6" s="37" t="s">
        <v>4</v>
      </c>
      <c r="R6" s="68" t="s">
        <v>5</v>
      </c>
      <c r="S6" s="29" t="s">
        <v>6</v>
      </c>
      <c r="T6" s="38" t="s">
        <v>0</v>
      </c>
      <c r="U6" s="37" t="s">
        <v>1</v>
      </c>
      <c r="V6" s="159"/>
      <c r="W6" s="11"/>
    </row>
    <row r="7" spans="2:23" ht="6.75" customHeight="1">
      <c r="B7" s="74"/>
      <c r="C7" s="70"/>
      <c r="D7" s="71"/>
      <c r="E7" s="72"/>
      <c r="F7" s="61"/>
      <c r="G7" s="30"/>
      <c r="H7" s="57"/>
      <c r="I7" s="57"/>
      <c r="J7" s="58"/>
      <c r="K7" s="50"/>
      <c r="L7" s="67"/>
      <c r="M7" s="60"/>
      <c r="N7" s="47"/>
      <c r="O7" s="59"/>
      <c r="P7" s="59"/>
      <c r="Q7" s="59"/>
      <c r="R7" s="49"/>
      <c r="S7" s="48"/>
      <c r="T7" s="59"/>
      <c r="U7" s="59"/>
      <c r="V7" s="69"/>
      <c r="W7" s="11"/>
    </row>
    <row r="8" spans="2:23" ht="6.75" customHeight="1">
      <c r="B8" s="148" t="s">
        <v>39</v>
      </c>
      <c r="C8" s="149"/>
      <c r="D8" s="71"/>
      <c r="E8" s="72"/>
      <c r="F8" s="61"/>
      <c r="G8" s="73"/>
      <c r="H8" s="30"/>
      <c r="I8" s="30"/>
      <c r="J8" s="51"/>
      <c r="K8" s="54"/>
      <c r="L8" s="55"/>
      <c r="M8" s="126"/>
      <c r="N8" s="83"/>
      <c r="O8" s="52"/>
      <c r="P8" s="52"/>
      <c r="Q8" s="52"/>
      <c r="R8" s="53"/>
      <c r="S8" s="52"/>
      <c r="T8" s="52"/>
      <c r="U8" s="52"/>
      <c r="V8" s="56"/>
      <c r="W8" s="75"/>
    </row>
    <row r="9" spans="2:23" ht="12.75" customHeight="1">
      <c r="B9" s="150"/>
      <c r="C9" s="146"/>
      <c r="D9" s="153" t="s">
        <v>38</v>
      </c>
      <c r="E9" s="40">
        <v>1</v>
      </c>
      <c r="F9" s="9"/>
      <c r="G9" s="41">
        <f>C3*0.06*0.23*0.88</f>
        <v>1.8216000000000003</v>
      </c>
      <c r="H9" s="42">
        <f>C3*0.06*0.23*0.12</f>
        <v>0.24840000000000004</v>
      </c>
      <c r="I9" s="42">
        <f>C3*0.06*0.23*0</f>
        <v>0</v>
      </c>
      <c r="J9" s="42">
        <v>0</v>
      </c>
      <c r="K9" s="43">
        <f>C3*0.23*0.078*0.24</f>
        <v>0.64584</v>
      </c>
      <c r="L9" s="86">
        <f aca="true" t="shared" si="0" ref="L9:L33">SUM(G9:K9)</f>
        <v>2.71584</v>
      </c>
      <c r="M9" s="132" t="s">
        <v>56</v>
      </c>
      <c r="N9" s="88"/>
      <c r="O9" s="46"/>
      <c r="P9" s="44"/>
      <c r="Q9" s="44"/>
      <c r="R9" s="45"/>
      <c r="S9" s="45"/>
      <c r="T9" s="46"/>
      <c r="U9" s="44"/>
      <c r="V9" s="121">
        <f>SUM(O9:U9)</f>
        <v>0</v>
      </c>
      <c r="W9" s="64"/>
    </row>
    <row r="10" spans="2:23" ht="12.75">
      <c r="B10" s="150"/>
      <c r="C10" s="146"/>
      <c r="D10" s="154"/>
      <c r="E10" s="14">
        <v>2</v>
      </c>
      <c r="F10" s="9"/>
      <c r="G10" s="33">
        <f>C3*0.06*0.26*0.88</f>
        <v>2.0591999999999997</v>
      </c>
      <c r="H10" s="34">
        <f>C3*0.06*0.26*0.12</f>
        <v>0.2808</v>
      </c>
      <c r="I10" s="34">
        <f>C3*0.06*0.26*0</f>
        <v>0</v>
      </c>
      <c r="J10" s="34">
        <v>0</v>
      </c>
      <c r="K10" s="32">
        <f>C3*0.23*0.078*0.26</f>
        <v>0.69966</v>
      </c>
      <c r="L10" s="87">
        <f t="shared" si="0"/>
        <v>3.0396599999999996</v>
      </c>
      <c r="M10" s="133"/>
      <c r="N10" s="88"/>
      <c r="O10" s="24"/>
      <c r="P10" s="24"/>
      <c r="Q10" s="24"/>
      <c r="R10" s="27"/>
      <c r="S10" s="27"/>
      <c r="T10" s="15"/>
      <c r="U10" s="23"/>
      <c r="V10" s="121">
        <f>SUM(O10:U10)</f>
        <v>0</v>
      </c>
      <c r="W10" s="11"/>
    </row>
    <row r="11" spans="2:23" ht="12.75">
      <c r="B11" s="150"/>
      <c r="C11" s="146"/>
      <c r="D11" s="154"/>
      <c r="E11" s="14">
        <v>3</v>
      </c>
      <c r="F11" s="9"/>
      <c r="G11" s="33">
        <f>C3*0.06*0.29*0.88</f>
        <v>2.2967999999999997</v>
      </c>
      <c r="H11" s="34">
        <f>C3*0.06*0.29*0.12</f>
        <v>0.3132</v>
      </c>
      <c r="I11" s="34">
        <f>C3*0.06*0.29*0</f>
        <v>0</v>
      </c>
      <c r="J11" s="34">
        <v>0</v>
      </c>
      <c r="K11" s="32">
        <f>C3*0.23*0.078*0.28</f>
        <v>0.75348</v>
      </c>
      <c r="L11" s="87">
        <f t="shared" si="0"/>
        <v>3.36348</v>
      </c>
      <c r="M11" s="133"/>
      <c r="N11" s="88"/>
      <c r="O11" s="16"/>
      <c r="P11" s="16"/>
      <c r="Q11" s="16"/>
      <c r="R11" s="28"/>
      <c r="S11" s="28"/>
      <c r="T11" s="15"/>
      <c r="U11" s="23"/>
      <c r="V11" s="121">
        <f>SUM(O11:U11)</f>
        <v>0</v>
      </c>
      <c r="W11" s="11"/>
    </row>
    <row r="12" spans="2:23" ht="12.75" customHeight="1">
      <c r="B12" s="150"/>
      <c r="C12" s="146"/>
      <c r="D12" s="155"/>
      <c r="E12" s="85">
        <v>4</v>
      </c>
      <c r="F12" s="9"/>
      <c r="G12" s="33">
        <f>C3*0.06*0.22*0.88</f>
        <v>1.7424</v>
      </c>
      <c r="H12" s="34">
        <f>C3*0.06*0.22*0.12</f>
        <v>0.23759999999999998</v>
      </c>
      <c r="I12" s="34">
        <f>C3*0.06*0.22*0</f>
        <v>0</v>
      </c>
      <c r="J12" s="34">
        <v>0</v>
      </c>
      <c r="K12" s="32">
        <f>C3*0.23*0.078*0.22</f>
        <v>0.59202</v>
      </c>
      <c r="L12" s="87">
        <f t="shared" si="0"/>
        <v>2.57202</v>
      </c>
      <c r="M12" s="134"/>
      <c r="N12" s="88"/>
      <c r="O12" s="16"/>
      <c r="P12" s="16"/>
      <c r="Q12" s="16"/>
      <c r="R12" s="28"/>
      <c r="S12" s="28"/>
      <c r="T12" s="15"/>
      <c r="U12" s="23"/>
      <c r="V12" s="121">
        <f>SUM(O12:U12)</f>
        <v>0</v>
      </c>
      <c r="W12" s="11"/>
    </row>
    <row r="13" spans="2:23" ht="12.75" customHeight="1">
      <c r="B13" s="150"/>
      <c r="C13" s="146"/>
      <c r="D13" s="180" t="s">
        <v>14</v>
      </c>
      <c r="E13" s="180"/>
      <c r="F13" s="89"/>
      <c r="G13" s="80">
        <f>SUM(G9:G12)</f>
        <v>7.92</v>
      </c>
      <c r="H13" s="80">
        <f>SUM(H9:H12)</f>
        <v>1.08</v>
      </c>
      <c r="I13" s="80">
        <f>SUM(I9:I12)</f>
        <v>0</v>
      </c>
      <c r="J13" s="80">
        <f>SUM(J9:J12)</f>
        <v>0</v>
      </c>
      <c r="K13" s="80">
        <f>SUM(K9:K12)</f>
        <v>2.691</v>
      </c>
      <c r="L13" s="3">
        <f t="shared" si="0"/>
        <v>11.690999999999999</v>
      </c>
      <c r="M13" s="135" t="s">
        <v>55</v>
      </c>
      <c r="N13" s="136"/>
      <c r="O13" s="136"/>
      <c r="P13" s="136"/>
      <c r="Q13" s="136"/>
      <c r="R13" s="136"/>
      <c r="S13" s="136"/>
      <c r="T13" s="136"/>
      <c r="U13" s="137"/>
      <c r="V13" s="3">
        <f>SUM(V9:V12)</f>
        <v>0</v>
      </c>
      <c r="W13" s="11"/>
    </row>
    <row r="14" spans="2:23" ht="6" customHeight="1">
      <c r="B14" s="150"/>
      <c r="C14" s="146"/>
      <c r="D14" s="73"/>
      <c r="E14" s="73"/>
      <c r="F14" s="79"/>
      <c r="G14" s="77"/>
      <c r="H14" s="77"/>
      <c r="I14" s="77"/>
      <c r="J14" s="77"/>
      <c r="K14" s="77"/>
      <c r="L14" s="77"/>
      <c r="M14" s="78"/>
      <c r="N14" s="47"/>
      <c r="O14" s="82"/>
      <c r="P14" s="21"/>
      <c r="Q14" s="21"/>
      <c r="R14" s="21"/>
      <c r="S14" s="21"/>
      <c r="T14" s="21"/>
      <c r="U14" s="21"/>
      <c r="V14" s="21"/>
      <c r="W14" s="11"/>
    </row>
    <row r="15" spans="2:23" ht="12.75" customHeight="1">
      <c r="B15" s="150"/>
      <c r="C15" s="146"/>
      <c r="D15" s="153" t="s">
        <v>37</v>
      </c>
      <c r="E15" s="40">
        <v>5</v>
      </c>
      <c r="F15" s="9"/>
      <c r="G15" s="41">
        <f>C3*0.07*0.23*0.82</f>
        <v>1.9803000000000002</v>
      </c>
      <c r="H15" s="42">
        <f>C3*0.07*0.23*0.18</f>
        <v>0.4347000000000001</v>
      </c>
      <c r="I15" s="42">
        <f>C3*0.07*0.23*0</f>
        <v>0</v>
      </c>
      <c r="J15" s="42">
        <v>0</v>
      </c>
      <c r="K15" s="43">
        <f>C3*0.23*0.091*0.24</f>
        <v>0.7534799999999999</v>
      </c>
      <c r="L15" s="86">
        <f t="shared" si="0"/>
        <v>3.1684799999999997</v>
      </c>
      <c r="M15" s="132" t="s">
        <v>56</v>
      </c>
      <c r="N15" s="88"/>
      <c r="O15" s="19"/>
      <c r="P15" s="20"/>
      <c r="Q15" s="20"/>
      <c r="R15" s="20"/>
      <c r="S15" s="20"/>
      <c r="T15" s="20"/>
      <c r="U15" s="20"/>
      <c r="V15" s="122">
        <f>SUM(O15:U15)</f>
        <v>0</v>
      </c>
      <c r="W15" s="64"/>
    </row>
    <row r="16" spans="2:23" ht="12.75">
      <c r="B16" s="150"/>
      <c r="C16" s="146"/>
      <c r="D16" s="154"/>
      <c r="E16" s="14">
        <v>6</v>
      </c>
      <c r="F16" s="9"/>
      <c r="G16" s="33">
        <f>C3*0.07*0.26*0.82</f>
        <v>2.2386000000000004</v>
      </c>
      <c r="H16" s="34">
        <f>C3*0.07*0.26*0.18</f>
        <v>0.49140000000000006</v>
      </c>
      <c r="I16" s="34">
        <f>C3*0.07*0.26*0</f>
        <v>0</v>
      </c>
      <c r="J16" s="34">
        <v>0</v>
      </c>
      <c r="K16" s="32">
        <f>C3*0.23*0.091*0.26</f>
        <v>0.81627</v>
      </c>
      <c r="L16" s="87">
        <f t="shared" si="0"/>
        <v>3.5462700000000007</v>
      </c>
      <c r="M16" s="133"/>
      <c r="N16" s="88"/>
      <c r="O16" s="15"/>
      <c r="P16" s="16"/>
      <c r="Q16" s="16"/>
      <c r="R16" s="16"/>
      <c r="S16" s="16"/>
      <c r="T16" s="16"/>
      <c r="U16" s="16"/>
      <c r="V16" s="123">
        <f>SUM(O16:U16)</f>
        <v>0</v>
      </c>
      <c r="W16" s="11"/>
    </row>
    <row r="17" spans="2:23" ht="12.75">
      <c r="B17" s="150"/>
      <c r="C17" s="146"/>
      <c r="D17" s="154"/>
      <c r="E17" s="14">
        <v>7</v>
      </c>
      <c r="F17" s="9"/>
      <c r="G17" s="33">
        <f>C3*0.07*0.29*0.82</f>
        <v>2.4969</v>
      </c>
      <c r="H17" s="34">
        <f>C3*0.07*0.29*0.18</f>
        <v>0.5481</v>
      </c>
      <c r="I17" s="34">
        <f>C3*0.07*0.29*0</f>
        <v>0</v>
      </c>
      <c r="J17" s="34">
        <v>0</v>
      </c>
      <c r="K17" s="32">
        <f>C3*0.23*0.091*0.28</f>
        <v>0.8790600000000001</v>
      </c>
      <c r="L17" s="87">
        <f t="shared" si="0"/>
        <v>3.92406</v>
      </c>
      <c r="M17" s="133"/>
      <c r="N17" s="88"/>
      <c r="O17" s="15"/>
      <c r="P17" s="16"/>
      <c r="Q17" s="16"/>
      <c r="R17" s="16"/>
      <c r="S17" s="16"/>
      <c r="T17" s="16"/>
      <c r="U17" s="16"/>
      <c r="V17" s="123">
        <f>SUM(O17:U17)</f>
        <v>0</v>
      </c>
      <c r="W17" s="11"/>
    </row>
    <row r="18" spans="2:23" ht="12.75">
      <c r="B18" s="150"/>
      <c r="C18" s="146"/>
      <c r="D18" s="155"/>
      <c r="E18" s="85">
        <v>8</v>
      </c>
      <c r="F18" s="9"/>
      <c r="G18" s="33">
        <f>C3*0.07*0.22*0.82</f>
        <v>1.8942000000000003</v>
      </c>
      <c r="H18" s="34">
        <f>C3*0.07*0.22*0.18</f>
        <v>0.41580000000000006</v>
      </c>
      <c r="I18" s="34">
        <f>C3*0.07*0.22*0</f>
        <v>0</v>
      </c>
      <c r="J18" s="34">
        <v>0</v>
      </c>
      <c r="K18" s="32">
        <f>C3*0.23*0.091*0.22</f>
        <v>0.69069</v>
      </c>
      <c r="L18" s="87">
        <f t="shared" si="0"/>
        <v>3.0006900000000005</v>
      </c>
      <c r="M18" s="134"/>
      <c r="N18" s="88"/>
      <c r="O18" s="15"/>
      <c r="P18" s="16"/>
      <c r="Q18" s="16"/>
      <c r="R18" s="16"/>
      <c r="S18" s="16"/>
      <c r="T18" s="16"/>
      <c r="U18" s="16"/>
      <c r="V18" s="123">
        <f>SUM(O18:U18)</f>
        <v>0</v>
      </c>
      <c r="W18" s="11"/>
    </row>
    <row r="19" spans="2:23" ht="12.75">
      <c r="B19" s="150"/>
      <c r="C19" s="146"/>
      <c r="D19" s="156" t="s">
        <v>15</v>
      </c>
      <c r="E19" s="156"/>
      <c r="F19" s="89"/>
      <c r="G19" s="3">
        <f>SUM(G15:G18)</f>
        <v>8.610000000000001</v>
      </c>
      <c r="H19" s="2">
        <f>SUM(H15:H18)</f>
        <v>1.8900000000000001</v>
      </c>
      <c r="I19" s="2">
        <f>SUM(I15:I18)</f>
        <v>0</v>
      </c>
      <c r="J19" s="2">
        <f>SUM(J15:J18)</f>
        <v>0</v>
      </c>
      <c r="K19" s="2">
        <f>SUM(K15:K18)</f>
        <v>3.1395</v>
      </c>
      <c r="L19" s="8">
        <f t="shared" si="0"/>
        <v>13.639500000000002</v>
      </c>
      <c r="M19" s="135" t="s">
        <v>55</v>
      </c>
      <c r="N19" s="129"/>
      <c r="O19" s="129"/>
      <c r="P19" s="129"/>
      <c r="Q19" s="129"/>
      <c r="R19" s="129"/>
      <c r="S19" s="129"/>
      <c r="T19" s="129"/>
      <c r="U19" s="130"/>
      <c r="V19" s="3">
        <f>SUM(V15:V18)</f>
        <v>0</v>
      </c>
      <c r="W19" s="11"/>
    </row>
    <row r="20" spans="2:23" ht="6" customHeight="1">
      <c r="B20" s="150"/>
      <c r="C20" s="146"/>
      <c r="D20" s="31"/>
      <c r="E20" s="31"/>
      <c r="F20" s="79"/>
      <c r="G20" s="78"/>
      <c r="H20" s="78"/>
      <c r="I20" s="78"/>
      <c r="J20" s="78"/>
      <c r="K20" s="78"/>
      <c r="L20" s="78"/>
      <c r="M20" s="78"/>
      <c r="N20" s="47"/>
      <c r="O20" s="84"/>
      <c r="P20" s="17"/>
      <c r="Q20" s="17"/>
      <c r="R20" s="17"/>
      <c r="S20" s="17"/>
      <c r="T20" s="17"/>
      <c r="U20" s="17"/>
      <c r="V20" s="17"/>
      <c r="W20" s="11"/>
    </row>
    <row r="21" spans="2:23" ht="12.75" customHeight="1">
      <c r="B21" s="150"/>
      <c r="C21" s="146"/>
      <c r="D21" s="153" t="s">
        <v>36</v>
      </c>
      <c r="E21" s="85">
        <v>9</v>
      </c>
      <c r="F21" s="9"/>
      <c r="G21" s="34">
        <f>C3*0.08*0.23*0.82</f>
        <v>2.2632</v>
      </c>
      <c r="H21" s="34">
        <f>C3*0.08*0.23*0.12</f>
        <v>0.3312</v>
      </c>
      <c r="I21" s="34">
        <f>C3*0.08*0.23*0.06</f>
        <v>0.1656</v>
      </c>
      <c r="J21" s="34">
        <v>0</v>
      </c>
      <c r="K21" s="32">
        <f>C3*0.23*0.104*0.24</f>
        <v>0.8611199999999999</v>
      </c>
      <c r="L21" s="87">
        <f t="shared" si="0"/>
        <v>3.6211199999999995</v>
      </c>
      <c r="M21" s="132" t="s">
        <v>57</v>
      </c>
      <c r="N21" s="88"/>
      <c r="O21" s="16"/>
      <c r="P21" s="16"/>
      <c r="Q21" s="16"/>
      <c r="R21" s="16"/>
      <c r="S21" s="16"/>
      <c r="T21" s="16"/>
      <c r="U21" s="16"/>
      <c r="V21" s="123">
        <f>SUM(O21:U21)</f>
        <v>0</v>
      </c>
      <c r="W21" s="11"/>
    </row>
    <row r="22" spans="2:23" ht="12.75">
      <c r="B22" s="150"/>
      <c r="C22" s="146"/>
      <c r="D22" s="154"/>
      <c r="E22" s="14">
        <v>10</v>
      </c>
      <c r="F22" s="9"/>
      <c r="G22" s="34">
        <f>C3*0.08*0.26*0.82</f>
        <v>2.5584</v>
      </c>
      <c r="H22" s="34">
        <f>C3*0.08*0.26*0.12</f>
        <v>0.3744</v>
      </c>
      <c r="I22" s="34">
        <f>C3*0.08*0.26*0.06</f>
        <v>0.1872</v>
      </c>
      <c r="J22" s="34">
        <v>0</v>
      </c>
      <c r="K22" s="32">
        <f>C3*0.23*0.104*0.26</f>
        <v>0.9328799999999999</v>
      </c>
      <c r="L22" s="87">
        <f t="shared" si="0"/>
        <v>4.05288</v>
      </c>
      <c r="M22" s="171"/>
      <c r="N22" s="88"/>
      <c r="O22" s="15"/>
      <c r="P22" s="16"/>
      <c r="Q22" s="16"/>
      <c r="R22" s="16"/>
      <c r="S22" s="16"/>
      <c r="T22" s="16"/>
      <c r="U22" s="16"/>
      <c r="V22" s="123">
        <f>SUM(O22:U22)</f>
        <v>0</v>
      </c>
      <c r="W22" s="11"/>
    </row>
    <row r="23" spans="2:23" ht="12.75">
      <c r="B23" s="150"/>
      <c r="C23" s="146"/>
      <c r="D23" s="154"/>
      <c r="E23" s="14">
        <v>11</v>
      </c>
      <c r="F23" s="9"/>
      <c r="G23" s="34">
        <f>C3*0.08*0.29*0.82</f>
        <v>2.8535999999999992</v>
      </c>
      <c r="H23" s="34">
        <f>C3*0.08*0.29*0.12</f>
        <v>0.4175999999999999</v>
      </c>
      <c r="I23" s="34">
        <f>C3*0.08*0.29*0.06</f>
        <v>0.20879999999999996</v>
      </c>
      <c r="J23" s="34">
        <v>0</v>
      </c>
      <c r="K23" s="32">
        <f>C3*0.23*0.104*0.28</f>
        <v>1.00464</v>
      </c>
      <c r="L23" s="87">
        <f t="shared" si="0"/>
        <v>4.484639999999999</v>
      </c>
      <c r="M23" s="171"/>
      <c r="N23" s="88"/>
      <c r="O23" s="15"/>
      <c r="P23" s="16"/>
      <c r="Q23" s="16"/>
      <c r="R23" s="16"/>
      <c r="S23" s="16"/>
      <c r="T23" s="16"/>
      <c r="U23" s="16"/>
      <c r="V23" s="123">
        <f>SUM(O23:U23)</f>
        <v>0</v>
      </c>
      <c r="W23" s="11"/>
    </row>
    <row r="24" spans="2:23" ht="12.75">
      <c r="B24" s="150"/>
      <c r="C24" s="146"/>
      <c r="D24" s="155"/>
      <c r="E24" s="85">
        <v>12</v>
      </c>
      <c r="F24" s="9"/>
      <c r="G24" s="34">
        <f>C3*0.08*0.22*0.82</f>
        <v>2.1648</v>
      </c>
      <c r="H24" s="34">
        <f>C3*0.08*0.22*0.12</f>
        <v>0.3168</v>
      </c>
      <c r="I24" s="34">
        <f>C3*0.08*0.22*0.06</f>
        <v>0.1584</v>
      </c>
      <c r="J24" s="34">
        <v>0</v>
      </c>
      <c r="K24" s="32">
        <f>C3*0.23*0.104*0.22</f>
        <v>0.78936</v>
      </c>
      <c r="L24" s="87">
        <f t="shared" si="0"/>
        <v>3.42936</v>
      </c>
      <c r="M24" s="172"/>
      <c r="N24" s="88"/>
      <c r="O24" s="15"/>
      <c r="P24" s="16"/>
      <c r="Q24" s="16"/>
      <c r="R24" s="16"/>
      <c r="S24" s="16"/>
      <c r="T24" s="16"/>
      <c r="U24" s="16"/>
      <c r="V24" s="123">
        <f>SUM(O24:U24)</f>
        <v>0</v>
      </c>
      <c r="W24" s="11"/>
    </row>
    <row r="25" spans="2:23" ht="12.75">
      <c r="B25" s="150"/>
      <c r="C25" s="146"/>
      <c r="D25" s="156" t="s">
        <v>16</v>
      </c>
      <c r="E25" s="156"/>
      <c r="F25" s="89"/>
      <c r="G25" s="3">
        <f>SUM(G21:G24)</f>
        <v>9.84</v>
      </c>
      <c r="H25" s="2">
        <f>SUM(H21:H24)</f>
        <v>1.44</v>
      </c>
      <c r="I25" s="2">
        <f>SUM(I21:I24)</f>
        <v>0.72</v>
      </c>
      <c r="J25" s="2">
        <f>SUM(J21:J24)</f>
        <v>0</v>
      </c>
      <c r="K25" s="2">
        <f>SUM(K21:K24)</f>
        <v>3.5879999999999996</v>
      </c>
      <c r="L25" s="8">
        <f t="shared" si="0"/>
        <v>15.588</v>
      </c>
      <c r="M25" s="131" t="s">
        <v>55</v>
      </c>
      <c r="N25" s="129"/>
      <c r="O25" s="129"/>
      <c r="P25" s="129"/>
      <c r="Q25" s="129"/>
      <c r="R25" s="129"/>
      <c r="S25" s="129"/>
      <c r="T25" s="129"/>
      <c r="U25" s="130"/>
      <c r="V25" s="3">
        <f>SUM(V21:V24)</f>
        <v>0</v>
      </c>
      <c r="W25" s="11"/>
    </row>
    <row r="26" spans="2:23" ht="6" customHeight="1">
      <c r="B26" s="150"/>
      <c r="C26" s="146"/>
      <c r="D26" s="31"/>
      <c r="E26" s="31"/>
      <c r="F26" s="79"/>
      <c r="G26" s="78"/>
      <c r="H26" s="78"/>
      <c r="I26" s="78"/>
      <c r="J26" s="78"/>
      <c r="K26" s="78"/>
      <c r="L26" s="78"/>
      <c r="M26" s="78"/>
      <c r="N26" s="47"/>
      <c r="O26" s="84"/>
      <c r="P26" s="17"/>
      <c r="Q26" s="17"/>
      <c r="R26" s="17"/>
      <c r="S26" s="17"/>
      <c r="T26" s="17"/>
      <c r="U26" s="17"/>
      <c r="V26" s="17"/>
      <c r="W26" s="11"/>
    </row>
    <row r="27" spans="2:23" ht="12.75" customHeight="1">
      <c r="B27" s="150"/>
      <c r="C27" s="146"/>
      <c r="D27" s="153" t="s">
        <v>35</v>
      </c>
      <c r="E27" s="85">
        <v>13</v>
      </c>
      <c r="F27" s="9"/>
      <c r="G27" s="34">
        <f>C3*0.09*0.23*0.76</f>
        <v>2.3598</v>
      </c>
      <c r="H27" s="34">
        <f>C3*0.09*0.23*0.12</f>
        <v>0.3726</v>
      </c>
      <c r="I27" s="34">
        <f>C3*0.09*0.23*0.12</f>
        <v>0.3726</v>
      </c>
      <c r="J27" s="34">
        <v>0</v>
      </c>
      <c r="K27" s="32">
        <f>C3*0.23*0.117*0.24</f>
        <v>0.9687600000000001</v>
      </c>
      <c r="L27" s="87">
        <f t="shared" si="0"/>
        <v>4.07376</v>
      </c>
      <c r="M27" s="132" t="s">
        <v>57</v>
      </c>
      <c r="N27" s="88"/>
      <c r="O27" s="16"/>
      <c r="P27" s="16"/>
      <c r="Q27" s="16"/>
      <c r="R27" s="16"/>
      <c r="S27" s="16"/>
      <c r="T27" s="16"/>
      <c r="U27" s="16"/>
      <c r="V27" s="123">
        <f>SUM(O27:U27)</f>
        <v>0</v>
      </c>
      <c r="W27" s="11"/>
    </row>
    <row r="28" spans="2:23" ht="12" customHeight="1">
      <c r="B28" s="150"/>
      <c r="C28" s="146"/>
      <c r="D28" s="154"/>
      <c r="E28" s="85">
        <v>14</v>
      </c>
      <c r="F28" s="9"/>
      <c r="G28" s="34">
        <f>C3*0.09*0.26*0.76</f>
        <v>2.6676</v>
      </c>
      <c r="H28" s="34">
        <f>C3*0.09*0.26*0.12</f>
        <v>0.4212</v>
      </c>
      <c r="I28" s="34">
        <f>C3*0.09*0.26*0.12</f>
        <v>0.4212</v>
      </c>
      <c r="J28" s="34">
        <v>0</v>
      </c>
      <c r="K28" s="32">
        <f>C3*0.23*0.117*0.26</f>
        <v>1.04949</v>
      </c>
      <c r="L28" s="87">
        <f t="shared" si="0"/>
        <v>4.55949</v>
      </c>
      <c r="M28" s="133"/>
      <c r="N28" s="88"/>
      <c r="O28" s="16"/>
      <c r="P28" s="16"/>
      <c r="Q28" s="16"/>
      <c r="R28" s="16"/>
      <c r="S28" s="16"/>
      <c r="T28" s="16"/>
      <c r="U28" s="16"/>
      <c r="V28" s="123">
        <f>SUM(O28:U28)</f>
        <v>0</v>
      </c>
      <c r="W28" s="11"/>
    </row>
    <row r="29" spans="2:23" ht="12.75">
      <c r="B29" s="150"/>
      <c r="C29" s="146"/>
      <c r="D29" s="154"/>
      <c r="E29" s="85">
        <v>15</v>
      </c>
      <c r="F29" s="9"/>
      <c r="G29" s="34">
        <f>C3*0.09*0.29*0.76</f>
        <v>2.9753999999999996</v>
      </c>
      <c r="H29" s="34">
        <f>C3*0.09*0.29*0.12</f>
        <v>0.46979999999999994</v>
      </c>
      <c r="I29" s="34">
        <f>C3*0.09*0.29*0.12</f>
        <v>0.46979999999999994</v>
      </c>
      <c r="J29" s="34">
        <v>0</v>
      </c>
      <c r="K29" s="32">
        <f>C3*0.23*0.117*0.28</f>
        <v>1.1302200000000002</v>
      </c>
      <c r="L29" s="87">
        <f t="shared" si="0"/>
        <v>5.04522</v>
      </c>
      <c r="M29" s="133"/>
      <c r="N29" s="88"/>
      <c r="O29" s="16"/>
      <c r="P29" s="16"/>
      <c r="Q29" s="16"/>
      <c r="R29" s="16"/>
      <c r="S29" s="16"/>
      <c r="T29" s="16"/>
      <c r="U29" s="16"/>
      <c r="V29" s="123">
        <f>SUM(O29:U29)</f>
        <v>0</v>
      </c>
      <c r="W29" s="11"/>
    </row>
    <row r="30" spans="2:23" ht="12.75">
      <c r="B30" s="150"/>
      <c r="C30" s="146"/>
      <c r="D30" s="155"/>
      <c r="E30" s="85">
        <v>16</v>
      </c>
      <c r="F30" s="9"/>
      <c r="G30" s="34">
        <f>C3*0.09*0.22*0.76</f>
        <v>2.2572</v>
      </c>
      <c r="H30" s="34">
        <f>C3*0.09*0.22*0.12</f>
        <v>0.3564</v>
      </c>
      <c r="I30" s="34">
        <f>C3*0.09*0.22*0.12</f>
        <v>0.3564</v>
      </c>
      <c r="J30" s="34">
        <v>0</v>
      </c>
      <c r="K30" s="32">
        <f>C3*0.23*0.117*0.22</f>
        <v>0.8880300000000001</v>
      </c>
      <c r="L30" s="87">
        <f t="shared" si="0"/>
        <v>3.85803</v>
      </c>
      <c r="M30" s="134"/>
      <c r="N30" s="88"/>
      <c r="O30" s="16"/>
      <c r="P30" s="16"/>
      <c r="Q30" s="16"/>
      <c r="R30" s="16"/>
      <c r="S30" s="16"/>
      <c r="T30" s="16"/>
      <c r="U30" s="16"/>
      <c r="V30" s="123">
        <f>SUM(O30:U30)</f>
        <v>0</v>
      </c>
      <c r="W30" s="11"/>
    </row>
    <row r="31" spans="2:23" ht="12.75" customHeight="1">
      <c r="B31" s="150"/>
      <c r="C31" s="146"/>
      <c r="D31" s="156" t="s">
        <v>17</v>
      </c>
      <c r="E31" s="156"/>
      <c r="F31" s="89"/>
      <c r="G31" s="80">
        <f>SUM(G27:G30)</f>
        <v>10.260000000000002</v>
      </c>
      <c r="H31" s="80">
        <f>SUM(H27:H30)</f>
        <v>1.62</v>
      </c>
      <c r="I31" s="80">
        <f>SUM(I27:I30)</f>
        <v>1.62</v>
      </c>
      <c r="J31" s="80">
        <f>SUM(J27:J30)</f>
        <v>0</v>
      </c>
      <c r="K31" s="80">
        <f>SUM(K27:K30)</f>
        <v>4.0365</v>
      </c>
      <c r="L31" s="93">
        <f t="shared" si="0"/>
        <v>17.536500000000004</v>
      </c>
      <c r="M31" s="131" t="s">
        <v>55</v>
      </c>
      <c r="N31" s="136"/>
      <c r="O31" s="136"/>
      <c r="P31" s="136"/>
      <c r="Q31" s="136"/>
      <c r="R31" s="136"/>
      <c r="S31" s="136"/>
      <c r="T31" s="136"/>
      <c r="U31" s="137"/>
      <c r="V31" s="3">
        <f>SUM(V27:V30)</f>
        <v>0</v>
      </c>
      <c r="W31" s="11"/>
    </row>
    <row r="32" spans="2:23" ht="6" customHeight="1">
      <c r="B32" s="97"/>
      <c r="C32" s="98"/>
      <c r="D32" s="31"/>
      <c r="E32" s="31"/>
      <c r="F32" s="79"/>
      <c r="G32" s="77"/>
      <c r="H32" s="77"/>
      <c r="I32" s="77"/>
      <c r="J32" s="77"/>
      <c r="K32" s="77"/>
      <c r="L32" s="77"/>
      <c r="M32" s="99"/>
      <c r="N32" s="47"/>
      <c r="O32" s="84"/>
      <c r="P32" s="17"/>
      <c r="Q32" s="17"/>
      <c r="R32" s="17"/>
      <c r="S32" s="17"/>
      <c r="T32" s="17"/>
      <c r="U32" s="17"/>
      <c r="V32" s="17"/>
      <c r="W32" s="11"/>
    </row>
    <row r="33" spans="2:23" ht="12.75" customHeight="1">
      <c r="B33" s="151" t="s">
        <v>40</v>
      </c>
      <c r="C33" s="146"/>
      <c r="D33" s="146"/>
      <c r="E33" s="146"/>
      <c r="F33" s="5"/>
      <c r="G33" s="95">
        <f>G13+G19+G25+G31</f>
        <v>36.63</v>
      </c>
      <c r="H33" s="95">
        <f>H13+H19+H25+H31</f>
        <v>6.03</v>
      </c>
      <c r="I33" s="95">
        <f>I13+I19+I25+I31</f>
        <v>2.34</v>
      </c>
      <c r="J33" s="95">
        <f>J13+J19+J25+J31</f>
        <v>0</v>
      </c>
      <c r="K33" s="95">
        <f>K13+K19+K25+K31</f>
        <v>13.455</v>
      </c>
      <c r="L33" s="96">
        <f t="shared" si="0"/>
        <v>58.455</v>
      </c>
      <c r="M33" s="128" t="s">
        <v>55</v>
      </c>
      <c r="N33" s="140"/>
      <c r="O33" s="140"/>
      <c r="P33" s="140"/>
      <c r="Q33" s="140"/>
      <c r="R33" s="140"/>
      <c r="S33" s="140"/>
      <c r="T33" s="140"/>
      <c r="U33" s="141"/>
      <c r="V33" s="3">
        <f>V13+V19+V25+V31</f>
        <v>0</v>
      </c>
      <c r="W33" s="11"/>
    </row>
    <row r="34" spans="2:23" ht="6.75" customHeight="1">
      <c r="B34" s="94"/>
      <c r="C34" s="70"/>
      <c r="D34" s="70"/>
      <c r="E34" s="70"/>
      <c r="F34" s="70"/>
      <c r="G34" s="91"/>
      <c r="H34" s="91"/>
      <c r="I34" s="91"/>
      <c r="J34" s="91"/>
      <c r="K34" s="91"/>
      <c r="L34" s="81"/>
      <c r="M34" s="78"/>
      <c r="N34" s="25"/>
      <c r="O34" s="18"/>
      <c r="P34" s="18"/>
      <c r="Q34" s="18"/>
      <c r="R34" s="18"/>
      <c r="S34" s="18"/>
      <c r="T34" s="18"/>
      <c r="U34" s="18"/>
      <c r="V34" s="18"/>
      <c r="W34" s="12"/>
    </row>
    <row r="35" spans="2:23" ht="6.75" customHeight="1">
      <c r="B35" s="148" t="s">
        <v>29</v>
      </c>
      <c r="C35" s="149"/>
      <c r="D35" s="70"/>
      <c r="E35" s="70"/>
      <c r="F35" s="5"/>
      <c r="G35" s="70"/>
      <c r="H35" s="70"/>
      <c r="I35" s="70"/>
      <c r="J35" s="70"/>
      <c r="K35" s="70"/>
      <c r="L35" s="81"/>
      <c r="M35" s="92"/>
      <c r="N35" s="5"/>
      <c r="O35" s="18"/>
      <c r="P35" s="18"/>
      <c r="Q35" s="18"/>
      <c r="R35" s="18"/>
      <c r="S35" s="18"/>
      <c r="T35" s="18"/>
      <c r="U35" s="18"/>
      <c r="V35" s="17"/>
      <c r="W35" s="11"/>
    </row>
    <row r="36" spans="2:23" ht="12.75" customHeight="1">
      <c r="B36" s="150"/>
      <c r="C36" s="146"/>
      <c r="D36" s="153" t="s">
        <v>33</v>
      </c>
      <c r="E36" s="85">
        <v>17</v>
      </c>
      <c r="F36" s="9"/>
      <c r="G36" s="33">
        <f>C3*0.09*0.22*0.7</f>
        <v>2.079</v>
      </c>
      <c r="H36" s="34">
        <f>C3*0.09*0.22*0.12</f>
        <v>0.3564</v>
      </c>
      <c r="I36" s="34">
        <f>C3*0.09*0.22*0.18</f>
        <v>0.5346</v>
      </c>
      <c r="J36" s="34">
        <v>0</v>
      </c>
      <c r="K36" s="32">
        <f>C3*0.23*0.117*0.24</f>
        <v>0.9687600000000001</v>
      </c>
      <c r="L36" s="86">
        <f aca="true" t="shared" si="1" ref="L36:L60">SUM(G36:K36)</f>
        <v>3.93876</v>
      </c>
      <c r="M36" s="132" t="s">
        <v>59</v>
      </c>
      <c r="N36" s="117"/>
      <c r="O36" s="15"/>
      <c r="P36" s="16"/>
      <c r="Q36" s="16"/>
      <c r="R36" s="16"/>
      <c r="S36" s="16"/>
      <c r="T36" s="16"/>
      <c r="U36" s="16"/>
      <c r="V36" s="123">
        <f>SUM(O36:U36)</f>
        <v>0</v>
      </c>
      <c r="W36" s="11"/>
    </row>
    <row r="37" spans="2:23" ht="12.75">
      <c r="B37" s="150"/>
      <c r="C37" s="146"/>
      <c r="D37" s="154"/>
      <c r="E37" s="85">
        <v>18</v>
      </c>
      <c r="F37" s="9"/>
      <c r="G37" s="33">
        <f>C3*0.09*0.27*0.7</f>
        <v>2.5515000000000003</v>
      </c>
      <c r="H37" s="34">
        <f>C3*0.09*0.27*0.12</f>
        <v>0.43740000000000007</v>
      </c>
      <c r="I37" s="34">
        <f>C3*0.09*0.27*0.18</f>
        <v>0.6561</v>
      </c>
      <c r="J37" s="34">
        <v>0</v>
      </c>
      <c r="K37" s="32">
        <f>C3*0.23*0.117*0.26</f>
        <v>1.04949</v>
      </c>
      <c r="L37" s="87">
        <f t="shared" si="1"/>
        <v>4.69449</v>
      </c>
      <c r="M37" s="133"/>
      <c r="N37" s="88"/>
      <c r="O37" s="15"/>
      <c r="P37" s="16"/>
      <c r="Q37" s="16"/>
      <c r="R37" s="16"/>
      <c r="S37" s="16"/>
      <c r="T37" s="16"/>
      <c r="U37" s="16"/>
      <c r="V37" s="123">
        <f>SUM(O37:U37)</f>
        <v>0</v>
      </c>
      <c r="W37" s="11"/>
    </row>
    <row r="38" spans="2:23" ht="12.75">
      <c r="B38" s="150"/>
      <c r="C38" s="146"/>
      <c r="D38" s="154"/>
      <c r="E38" s="85">
        <v>19</v>
      </c>
      <c r="F38" s="9"/>
      <c r="G38" s="33">
        <f>C3*0.09*0.33*0.7</f>
        <v>3.1185</v>
      </c>
      <c r="H38" s="34">
        <f>C3*0.09*0.33*0.12</f>
        <v>0.5346</v>
      </c>
      <c r="I38" s="34">
        <f>C3*0.09*0.33*0.18</f>
        <v>0.8019</v>
      </c>
      <c r="J38" s="34">
        <v>0</v>
      </c>
      <c r="K38" s="32">
        <f>C3*0.23*0.117*0.28</f>
        <v>1.1302200000000002</v>
      </c>
      <c r="L38" s="87">
        <f t="shared" si="1"/>
        <v>5.5852200000000005</v>
      </c>
      <c r="M38" s="133"/>
      <c r="N38" s="88"/>
      <c r="O38" s="15"/>
      <c r="P38" s="16"/>
      <c r="Q38" s="16"/>
      <c r="R38" s="16"/>
      <c r="S38" s="16"/>
      <c r="T38" s="16"/>
      <c r="U38" s="16"/>
      <c r="V38" s="123">
        <f>SUM(O38:U38)</f>
        <v>0</v>
      </c>
      <c r="W38" s="11"/>
    </row>
    <row r="39" spans="2:23" ht="12.75">
      <c r="B39" s="150"/>
      <c r="C39" s="146"/>
      <c r="D39" s="155"/>
      <c r="E39" s="85">
        <v>20</v>
      </c>
      <c r="F39" s="9"/>
      <c r="G39" s="33">
        <f>C3*0.09*0.18*0.7</f>
        <v>1.7009999999999996</v>
      </c>
      <c r="H39" s="34">
        <f>C3*0.09*0.18*0.12</f>
        <v>0.29159999999999997</v>
      </c>
      <c r="I39" s="34">
        <f>C3*0.09*0.18*0.18</f>
        <v>0.43739999999999996</v>
      </c>
      <c r="J39" s="34">
        <v>0</v>
      </c>
      <c r="K39" s="32">
        <f>C3*0.23*0.117*0.22</f>
        <v>0.8880300000000001</v>
      </c>
      <c r="L39" s="87">
        <f t="shared" si="1"/>
        <v>3.3180299999999994</v>
      </c>
      <c r="M39" s="134"/>
      <c r="N39" s="88"/>
      <c r="O39" s="16"/>
      <c r="P39" s="16"/>
      <c r="Q39" s="16"/>
      <c r="R39" s="16"/>
      <c r="S39" s="16"/>
      <c r="T39" s="16"/>
      <c r="U39" s="16"/>
      <c r="V39" s="123">
        <f>SUM(O39:U39)</f>
        <v>0</v>
      </c>
      <c r="W39" s="11"/>
    </row>
    <row r="40" spans="2:23" ht="12.75">
      <c r="B40" s="150"/>
      <c r="C40" s="146"/>
      <c r="D40" s="156" t="s">
        <v>18</v>
      </c>
      <c r="E40" s="156"/>
      <c r="F40" s="89"/>
      <c r="G40" s="80">
        <f>SUM(G36:G39)</f>
        <v>9.45</v>
      </c>
      <c r="H40" s="80">
        <f>SUM(H36:H39)</f>
        <v>1.62</v>
      </c>
      <c r="I40" s="80">
        <f>SUM(I36:I39)</f>
        <v>2.4299999999999997</v>
      </c>
      <c r="J40" s="80">
        <f>SUM(J36:J39)</f>
        <v>0</v>
      </c>
      <c r="K40" s="80">
        <f>SUM(K36:K39)</f>
        <v>4.0365</v>
      </c>
      <c r="L40" s="8">
        <f t="shared" si="1"/>
        <v>17.5365</v>
      </c>
      <c r="M40" s="147" t="s">
        <v>55</v>
      </c>
      <c r="N40" s="136"/>
      <c r="O40" s="136"/>
      <c r="P40" s="136"/>
      <c r="Q40" s="136"/>
      <c r="R40" s="136"/>
      <c r="S40" s="136"/>
      <c r="T40" s="136"/>
      <c r="U40" s="137"/>
      <c r="V40" s="3">
        <f>SUM(V36:V39)</f>
        <v>0</v>
      </c>
      <c r="W40" s="11"/>
    </row>
    <row r="41" spans="2:23" ht="6" customHeight="1">
      <c r="B41" s="150"/>
      <c r="C41" s="146"/>
      <c r="D41" s="63"/>
      <c r="E41" s="63"/>
      <c r="F41" s="79"/>
      <c r="G41" s="77"/>
      <c r="H41" s="77"/>
      <c r="I41" s="77"/>
      <c r="J41" s="77"/>
      <c r="K41" s="77"/>
      <c r="L41" s="77"/>
      <c r="M41" s="78"/>
      <c r="N41" s="47"/>
      <c r="O41" s="82"/>
      <c r="P41" s="18"/>
      <c r="Q41" s="18"/>
      <c r="R41" s="18"/>
      <c r="S41" s="18"/>
      <c r="T41" s="18"/>
      <c r="U41" s="18"/>
      <c r="V41" s="18"/>
      <c r="W41" s="11"/>
    </row>
    <row r="42" spans="2:23" ht="12.75" customHeight="1">
      <c r="B42" s="150"/>
      <c r="C42" s="146"/>
      <c r="D42" s="153" t="s">
        <v>32</v>
      </c>
      <c r="E42" s="116">
        <v>21</v>
      </c>
      <c r="F42" s="4"/>
      <c r="G42" s="41">
        <f>C3*0.1*0.22*0.65</f>
        <v>2.145</v>
      </c>
      <c r="H42" s="42">
        <f>C3*0.1*0.22*0.06</f>
        <v>0.19799999999999998</v>
      </c>
      <c r="I42" s="42">
        <f>C3*0.1*0.22*0.18</f>
        <v>0.594</v>
      </c>
      <c r="J42" s="42">
        <f>C3*0.1*0.22*0.11</f>
        <v>0.363</v>
      </c>
      <c r="K42" s="43">
        <f>C3*0.23*0.13*0.24</f>
        <v>1.0764</v>
      </c>
      <c r="L42" s="86">
        <f t="shared" si="1"/>
        <v>4.3764</v>
      </c>
      <c r="M42" s="132" t="s">
        <v>58</v>
      </c>
      <c r="N42" s="88"/>
      <c r="O42" s="15"/>
      <c r="P42" s="16"/>
      <c r="Q42" s="16"/>
      <c r="R42" s="16"/>
      <c r="S42" s="16"/>
      <c r="T42" s="16"/>
      <c r="U42" s="16"/>
      <c r="V42" s="123">
        <f>SUM(O42:U42)</f>
        <v>0</v>
      </c>
      <c r="W42" s="11"/>
    </row>
    <row r="43" spans="2:23" ht="12.75">
      <c r="B43" s="150"/>
      <c r="C43" s="146"/>
      <c r="D43" s="154"/>
      <c r="E43" s="116">
        <v>22</v>
      </c>
      <c r="F43" s="4"/>
      <c r="G43" s="33">
        <f>C3*0.1*0.27*0.65</f>
        <v>2.6325000000000007</v>
      </c>
      <c r="H43" s="34">
        <f>C3*0.1*0.27*0.06</f>
        <v>0.24300000000000002</v>
      </c>
      <c r="I43" s="34">
        <f>C3*0.1*0.27*0.18</f>
        <v>0.7290000000000001</v>
      </c>
      <c r="J43" s="34">
        <f>C3*0.1*0.27*0.11</f>
        <v>0.44550000000000006</v>
      </c>
      <c r="K43" s="32">
        <f>C3*0.23*0.13*0.26</f>
        <v>1.1661000000000001</v>
      </c>
      <c r="L43" s="87">
        <f t="shared" si="1"/>
        <v>5.216100000000001</v>
      </c>
      <c r="M43" s="133"/>
      <c r="N43" s="88"/>
      <c r="O43" s="15"/>
      <c r="P43" s="16"/>
      <c r="Q43" s="16"/>
      <c r="R43" s="16"/>
      <c r="S43" s="16"/>
      <c r="T43" s="16"/>
      <c r="U43" s="16"/>
      <c r="V43" s="123">
        <f>SUM(O43:U43)</f>
        <v>0</v>
      </c>
      <c r="W43" s="11"/>
    </row>
    <row r="44" spans="2:23" ht="12.75">
      <c r="B44" s="150"/>
      <c r="C44" s="146"/>
      <c r="D44" s="154"/>
      <c r="E44" s="116">
        <v>23</v>
      </c>
      <c r="F44" s="4"/>
      <c r="G44" s="33">
        <f>C3*0.1*0.33*0.65</f>
        <v>3.2175000000000002</v>
      </c>
      <c r="H44" s="34">
        <f>C3*0.1*0.33*0.06</f>
        <v>0.297</v>
      </c>
      <c r="I44" s="34">
        <f>C3*0.1*0.33*0.18</f>
        <v>0.891</v>
      </c>
      <c r="J44" s="34">
        <f>C3*0.1*0.33*0.11</f>
        <v>0.5445</v>
      </c>
      <c r="K44" s="32">
        <f>C3*0.23*0.13*0.28</f>
        <v>1.2558000000000002</v>
      </c>
      <c r="L44" s="87">
        <f t="shared" si="1"/>
        <v>6.2058</v>
      </c>
      <c r="M44" s="133"/>
      <c r="N44" s="88"/>
      <c r="O44" s="15"/>
      <c r="P44" s="16"/>
      <c r="Q44" s="16"/>
      <c r="R44" s="16"/>
      <c r="S44" s="16"/>
      <c r="T44" s="16"/>
      <c r="U44" s="16"/>
      <c r="V44" s="123">
        <f>SUM(O44:U44)</f>
        <v>0</v>
      </c>
      <c r="W44" s="11"/>
    </row>
    <row r="45" spans="2:23" ht="12.75">
      <c r="B45" s="150"/>
      <c r="C45" s="146"/>
      <c r="D45" s="155"/>
      <c r="E45" s="116">
        <v>24</v>
      </c>
      <c r="F45" s="4"/>
      <c r="G45" s="33">
        <f>C3*0.1*0.18*0.65</f>
        <v>1.755</v>
      </c>
      <c r="H45" s="34">
        <f>C3*0.1*0.18*0.06</f>
        <v>0.16199999999999998</v>
      </c>
      <c r="I45" s="34">
        <f>C3*0.1*0.18*0.18</f>
        <v>0.48599999999999993</v>
      </c>
      <c r="J45" s="34">
        <f>C3*0.1*0.18*0.11</f>
        <v>0.297</v>
      </c>
      <c r="K45" s="32">
        <f>C3*0.23*0.13*0.22</f>
        <v>0.9867</v>
      </c>
      <c r="L45" s="87">
        <f t="shared" si="1"/>
        <v>3.6866999999999996</v>
      </c>
      <c r="M45" s="134"/>
      <c r="N45" s="88"/>
      <c r="O45" s="16"/>
      <c r="P45" s="16"/>
      <c r="Q45" s="16"/>
      <c r="R45" s="16"/>
      <c r="S45" s="16"/>
      <c r="T45" s="16"/>
      <c r="U45" s="16"/>
      <c r="V45" s="123">
        <f>SUM(O45:U45)</f>
        <v>0</v>
      </c>
      <c r="W45" s="11"/>
    </row>
    <row r="46" spans="2:23" ht="12.75">
      <c r="B46" s="150"/>
      <c r="C46" s="146"/>
      <c r="D46" s="156" t="s">
        <v>19</v>
      </c>
      <c r="E46" s="156"/>
      <c r="F46" s="89"/>
      <c r="G46" s="80">
        <f>SUM(G42:G45)</f>
        <v>9.75</v>
      </c>
      <c r="H46" s="80">
        <f>SUM(H42:H45)</f>
        <v>0.8999999999999999</v>
      </c>
      <c r="I46" s="80">
        <f>SUM(I42:I45)</f>
        <v>2.6999999999999997</v>
      </c>
      <c r="J46" s="80">
        <f>SUM(J42:J45)</f>
        <v>1.65</v>
      </c>
      <c r="K46" s="90">
        <f>C3*0.23*0.12</f>
        <v>4.14</v>
      </c>
      <c r="L46" s="8">
        <f t="shared" si="1"/>
        <v>19.14</v>
      </c>
      <c r="M46" s="147" t="s">
        <v>55</v>
      </c>
      <c r="N46" s="136"/>
      <c r="O46" s="136"/>
      <c r="P46" s="136"/>
      <c r="Q46" s="136"/>
      <c r="R46" s="136"/>
      <c r="S46" s="136"/>
      <c r="T46" s="136"/>
      <c r="U46" s="137"/>
      <c r="V46" s="3">
        <f>SUM(V42:V45)</f>
        <v>0</v>
      </c>
      <c r="W46" s="11"/>
    </row>
    <row r="47" spans="2:23" ht="5.25" customHeight="1">
      <c r="B47" s="150"/>
      <c r="C47" s="146"/>
      <c r="D47" s="31"/>
      <c r="E47" s="63"/>
      <c r="F47" s="79"/>
      <c r="G47" s="77"/>
      <c r="H47" s="77"/>
      <c r="I47" s="77"/>
      <c r="J47" s="77"/>
      <c r="K47" s="77"/>
      <c r="L47" s="77"/>
      <c r="M47" s="78"/>
      <c r="N47" s="47"/>
      <c r="O47" s="82"/>
      <c r="P47" s="18"/>
      <c r="Q47" s="18"/>
      <c r="R47" s="18"/>
      <c r="S47" s="18"/>
      <c r="T47" s="18"/>
      <c r="U47" s="18"/>
      <c r="V47" s="18"/>
      <c r="W47" s="11"/>
    </row>
    <row r="48" spans="2:23" ht="12.75" customHeight="1">
      <c r="B48" s="150"/>
      <c r="C48" s="146"/>
      <c r="D48" s="157" t="s">
        <v>31</v>
      </c>
      <c r="E48" s="85">
        <v>25</v>
      </c>
      <c r="F48" s="9"/>
      <c r="G48" s="41">
        <f>C3*0.11*0.22*0.65</f>
        <v>2.3595</v>
      </c>
      <c r="H48" s="42">
        <f>C3*0.11*0.22*0.06</f>
        <v>0.2178</v>
      </c>
      <c r="I48" s="42">
        <f>C3*0.11*0.22*0.18</f>
        <v>0.6534</v>
      </c>
      <c r="J48" s="42">
        <f>C3*0.11*0.22*0.11</f>
        <v>0.3993</v>
      </c>
      <c r="K48" s="43">
        <f>C3*0.23*0.143*0.24</f>
        <v>1.1840399999999998</v>
      </c>
      <c r="L48" s="86">
        <f t="shared" si="1"/>
        <v>4.814039999999999</v>
      </c>
      <c r="M48" s="132" t="s">
        <v>22</v>
      </c>
      <c r="N48" s="88"/>
      <c r="O48" s="15"/>
      <c r="P48" s="16"/>
      <c r="Q48" s="16"/>
      <c r="R48" s="16"/>
      <c r="S48" s="16"/>
      <c r="T48" s="16"/>
      <c r="U48" s="16"/>
      <c r="V48" s="123">
        <f>SUM(O48:U48)</f>
        <v>0</v>
      </c>
      <c r="W48" s="11"/>
    </row>
    <row r="49" spans="2:23" ht="12.75">
      <c r="B49" s="150"/>
      <c r="C49" s="146"/>
      <c r="D49" s="158"/>
      <c r="E49" s="85">
        <v>26</v>
      </c>
      <c r="F49" s="9"/>
      <c r="G49" s="33">
        <f>C3*0.11*0.27*0.65</f>
        <v>2.89575</v>
      </c>
      <c r="H49" s="34">
        <f>C3*0.11*0.27*0.06</f>
        <v>0.2673</v>
      </c>
      <c r="I49" s="34">
        <f>C3*0.11*0.27*0.18</f>
        <v>0.8019</v>
      </c>
      <c r="J49" s="34">
        <f>C3*0.11*0.27*0.11</f>
        <v>0.49005</v>
      </c>
      <c r="K49" s="32">
        <f>C3*0.23*0.143*0.26</f>
        <v>1.28271</v>
      </c>
      <c r="L49" s="87">
        <f t="shared" si="1"/>
        <v>5.73771</v>
      </c>
      <c r="M49" s="133"/>
      <c r="N49" s="88"/>
      <c r="O49" s="15"/>
      <c r="P49" s="16"/>
      <c r="Q49" s="16"/>
      <c r="R49" s="16"/>
      <c r="S49" s="16"/>
      <c r="T49" s="16"/>
      <c r="U49" s="16"/>
      <c r="V49" s="123">
        <f>SUM(O49:U49)</f>
        <v>0</v>
      </c>
      <c r="W49" s="11"/>
    </row>
    <row r="50" spans="2:23" ht="12.75">
      <c r="B50" s="150"/>
      <c r="C50" s="146"/>
      <c r="D50" s="158"/>
      <c r="E50" s="85">
        <v>27</v>
      </c>
      <c r="F50" s="9"/>
      <c r="G50" s="33">
        <f>C3*0.11*0.33*0.65</f>
        <v>3.5392500000000005</v>
      </c>
      <c r="H50" s="34">
        <f>C3*0.11*0.33*0.06</f>
        <v>0.3267</v>
      </c>
      <c r="I50" s="34">
        <f>C3*0.11*0.33*0.18</f>
        <v>0.9801</v>
      </c>
      <c r="J50" s="34">
        <f>C3*0.11*0.33*0.11</f>
        <v>0.59895</v>
      </c>
      <c r="K50" s="32">
        <f>C3*0.23*0.143*0.28</f>
        <v>1.38138</v>
      </c>
      <c r="L50" s="87">
        <f t="shared" si="1"/>
        <v>6.826380000000001</v>
      </c>
      <c r="M50" s="133"/>
      <c r="N50" s="88"/>
      <c r="O50" s="15"/>
      <c r="P50" s="16"/>
      <c r="Q50" s="16"/>
      <c r="R50" s="16"/>
      <c r="S50" s="16"/>
      <c r="T50" s="16"/>
      <c r="U50" s="16"/>
      <c r="V50" s="123">
        <f>SUM(O50:U50)</f>
        <v>0</v>
      </c>
      <c r="W50" s="11"/>
    </row>
    <row r="51" spans="2:23" ht="12.75">
      <c r="B51" s="150"/>
      <c r="C51" s="146"/>
      <c r="D51" s="177"/>
      <c r="E51" s="85">
        <v>28</v>
      </c>
      <c r="F51" s="9"/>
      <c r="G51" s="33">
        <f>C3*0.11*0.18*0.65</f>
        <v>1.9304999999999999</v>
      </c>
      <c r="H51" s="34">
        <f>C3*0.11*0.18*0.06</f>
        <v>0.17819999999999997</v>
      </c>
      <c r="I51" s="34">
        <f>C3*0.11*0.18*0.18</f>
        <v>0.5346</v>
      </c>
      <c r="J51" s="34">
        <f>C3*0.11*0.18*0.11</f>
        <v>0.3267</v>
      </c>
      <c r="K51" s="32">
        <f>C3*0.23*0.143*0.22</f>
        <v>1.08537</v>
      </c>
      <c r="L51" s="87">
        <f t="shared" si="1"/>
        <v>4.05537</v>
      </c>
      <c r="M51" s="134"/>
      <c r="N51" s="88"/>
      <c r="O51" s="16"/>
      <c r="P51" s="16"/>
      <c r="Q51" s="16"/>
      <c r="R51" s="16"/>
      <c r="S51" s="16"/>
      <c r="T51" s="16"/>
      <c r="U51" s="125"/>
      <c r="V51" s="123">
        <f>SUM(O51:U51)</f>
        <v>0</v>
      </c>
      <c r="W51" s="11"/>
    </row>
    <row r="52" spans="2:23" ht="12.75">
      <c r="B52" s="150"/>
      <c r="C52" s="146"/>
      <c r="D52" s="156" t="s">
        <v>20</v>
      </c>
      <c r="E52" s="156"/>
      <c r="F52" s="89"/>
      <c r="G52" s="80">
        <f>SUM(G48:G51)</f>
        <v>10.725000000000001</v>
      </c>
      <c r="H52" s="80">
        <f>SUM(H48:H51)</f>
        <v>0.99</v>
      </c>
      <c r="I52" s="80">
        <f>SUM(I48:I51)</f>
        <v>2.9699999999999998</v>
      </c>
      <c r="J52" s="80">
        <f>SUM(J48:J51)</f>
        <v>1.815</v>
      </c>
      <c r="K52" s="80">
        <f>SUM(K48:K51)</f>
        <v>4.9334999999999996</v>
      </c>
      <c r="L52" s="8">
        <f t="shared" si="1"/>
        <v>21.433500000000002</v>
      </c>
      <c r="M52" s="147" t="s">
        <v>55</v>
      </c>
      <c r="N52" s="136"/>
      <c r="O52" s="136"/>
      <c r="P52" s="136"/>
      <c r="Q52" s="136"/>
      <c r="R52" s="136"/>
      <c r="S52" s="136"/>
      <c r="T52" s="136"/>
      <c r="U52" s="137"/>
      <c r="V52" s="3">
        <f>SUM(V48:V51)</f>
        <v>0</v>
      </c>
      <c r="W52" s="11"/>
    </row>
    <row r="53" spans="2:23" ht="6" customHeight="1">
      <c r="B53" s="150"/>
      <c r="C53" s="146"/>
      <c r="D53" s="31"/>
      <c r="E53" s="63"/>
      <c r="F53" s="79"/>
      <c r="G53" s="77"/>
      <c r="H53" s="77"/>
      <c r="I53" s="77"/>
      <c r="J53" s="77"/>
      <c r="K53" s="77"/>
      <c r="L53" s="77"/>
      <c r="M53" s="78"/>
      <c r="N53" s="47"/>
      <c r="O53" s="84"/>
      <c r="P53" s="17"/>
      <c r="Q53" s="17"/>
      <c r="R53" s="17"/>
      <c r="S53" s="17"/>
      <c r="T53" s="17"/>
      <c r="U53" s="17"/>
      <c r="V53" s="17"/>
      <c r="W53" s="11"/>
    </row>
    <row r="54" spans="2:23" ht="12.75" customHeight="1">
      <c r="B54" s="150"/>
      <c r="C54" s="146"/>
      <c r="D54" s="153" t="s">
        <v>30</v>
      </c>
      <c r="E54" s="85">
        <v>29</v>
      </c>
      <c r="F54" s="9"/>
      <c r="G54" s="41">
        <f>C3*0.09*0.22*0.6</f>
        <v>1.782</v>
      </c>
      <c r="H54" s="42">
        <f>C3*0.09*0.22*0.06</f>
        <v>0.1782</v>
      </c>
      <c r="I54" s="42">
        <f>C3*0.09*0.22*0.17</f>
        <v>0.5049</v>
      </c>
      <c r="J54" s="42">
        <f>C3*0.09*0.22*0.16</f>
        <v>0.47520000000000007</v>
      </c>
      <c r="K54" s="43">
        <f>C3*0.23*0.116*0.24</f>
        <v>0.9604799999999999</v>
      </c>
      <c r="L54" s="86">
        <f t="shared" si="1"/>
        <v>3.90078</v>
      </c>
      <c r="M54" s="132" t="s">
        <v>52</v>
      </c>
      <c r="N54" s="88"/>
      <c r="O54" s="16"/>
      <c r="P54" s="16"/>
      <c r="Q54" s="16"/>
      <c r="R54" s="16"/>
      <c r="S54" s="16"/>
      <c r="T54" s="16"/>
      <c r="U54" s="16"/>
      <c r="V54" s="123">
        <f>SUM(O54:U54)</f>
        <v>0</v>
      </c>
      <c r="W54" s="11"/>
    </row>
    <row r="55" spans="2:23" ht="12.75">
      <c r="B55" s="150"/>
      <c r="C55" s="146"/>
      <c r="D55" s="154"/>
      <c r="E55" s="85">
        <v>30</v>
      </c>
      <c r="F55" s="9"/>
      <c r="G55" s="33">
        <f>C3*0.09*0.27*0.6</f>
        <v>2.1870000000000003</v>
      </c>
      <c r="H55" s="34">
        <f>C3*0.09*0.27*0.06</f>
        <v>0.21870000000000003</v>
      </c>
      <c r="I55" s="34">
        <f>C3*0.09*0.27*0.17</f>
        <v>0.6196500000000001</v>
      </c>
      <c r="J55" s="34">
        <f>C3*0.09*0.27*0.16</f>
        <v>0.5832</v>
      </c>
      <c r="K55" s="32">
        <f>C3*0.23*0.116*0.26</f>
        <v>1.04052</v>
      </c>
      <c r="L55" s="87">
        <f t="shared" si="1"/>
        <v>4.64907</v>
      </c>
      <c r="M55" s="133"/>
      <c r="N55" s="88"/>
      <c r="O55" s="15"/>
      <c r="P55" s="16"/>
      <c r="Q55" s="16"/>
      <c r="R55" s="16"/>
      <c r="S55" s="16"/>
      <c r="T55" s="16"/>
      <c r="U55" s="16"/>
      <c r="V55" s="123">
        <f>SUM(O55:U55)</f>
        <v>0</v>
      </c>
      <c r="W55" s="11"/>
    </row>
    <row r="56" spans="2:23" ht="12.75">
      <c r="B56" s="150"/>
      <c r="C56" s="146"/>
      <c r="D56" s="154"/>
      <c r="E56" s="85">
        <v>31</v>
      </c>
      <c r="F56" s="9"/>
      <c r="G56" s="33">
        <f>C3*0.09*0.33*0.6</f>
        <v>2.673</v>
      </c>
      <c r="H56" s="34">
        <f>C3*0.09*0.33*0.06</f>
        <v>0.2673</v>
      </c>
      <c r="I56" s="34">
        <f>C3*0.09*0.33*0.17</f>
        <v>0.7573500000000001</v>
      </c>
      <c r="J56" s="34">
        <f>C3*0.09*0.33*0.16</f>
        <v>0.7128</v>
      </c>
      <c r="K56" s="32">
        <f>C3*0.23*0.116*0.28</f>
        <v>1.12056</v>
      </c>
      <c r="L56" s="87">
        <f t="shared" si="1"/>
        <v>5.53101</v>
      </c>
      <c r="M56" s="133"/>
      <c r="N56" s="88"/>
      <c r="O56" s="15"/>
      <c r="P56" s="16"/>
      <c r="Q56" s="16"/>
      <c r="R56" s="16"/>
      <c r="S56" s="16"/>
      <c r="T56" s="16"/>
      <c r="U56" s="16"/>
      <c r="V56" s="123">
        <f>SUM(O56:U56)</f>
        <v>0</v>
      </c>
      <c r="W56" s="11"/>
    </row>
    <row r="57" spans="2:23" ht="12.75">
      <c r="B57" s="150"/>
      <c r="C57" s="146"/>
      <c r="D57" s="155"/>
      <c r="E57" s="85">
        <v>32</v>
      </c>
      <c r="F57" s="9"/>
      <c r="G57" s="33">
        <f>C3*0.09*0.18*0.6</f>
        <v>1.4579999999999997</v>
      </c>
      <c r="H57" s="34">
        <f>C3*0.09*0.18*0.06</f>
        <v>0.14579999999999999</v>
      </c>
      <c r="I57" s="34">
        <f>C3*0.09*0.18*0.17</f>
        <v>0.41309999999999997</v>
      </c>
      <c r="J57" s="34">
        <f>C3*0.09*0.18*0.16</f>
        <v>0.3888</v>
      </c>
      <c r="K57" s="32">
        <f>C3*0.23*0.116*0.22</f>
        <v>0.88044</v>
      </c>
      <c r="L57" s="87">
        <f t="shared" si="1"/>
        <v>3.2861399999999996</v>
      </c>
      <c r="M57" s="134"/>
      <c r="N57" s="88"/>
      <c r="O57" s="15"/>
      <c r="P57" s="16"/>
      <c r="Q57" s="16"/>
      <c r="R57" s="16"/>
      <c r="S57" s="16"/>
      <c r="T57" s="16"/>
      <c r="U57" s="16"/>
      <c r="V57" s="123">
        <f>SUM(O57:U57)</f>
        <v>0</v>
      </c>
      <c r="W57" s="11"/>
    </row>
    <row r="58" spans="2:23" ht="12.75">
      <c r="B58" s="150"/>
      <c r="C58" s="146"/>
      <c r="D58" s="156" t="s">
        <v>21</v>
      </c>
      <c r="E58" s="156"/>
      <c r="F58" s="89"/>
      <c r="G58" s="80">
        <f>SUM(G54:G57)</f>
        <v>8.1</v>
      </c>
      <c r="H58" s="80">
        <f>SUM(H54:H57)</f>
        <v>0.81</v>
      </c>
      <c r="I58" s="80">
        <f>SUM(I54:I57)</f>
        <v>2.2950000000000004</v>
      </c>
      <c r="J58" s="80">
        <f>SUM(J54:J57)</f>
        <v>2.16</v>
      </c>
      <c r="K58" s="80">
        <f>SUM(K54:K57)</f>
        <v>4.002</v>
      </c>
      <c r="L58" s="8">
        <f t="shared" si="1"/>
        <v>17.367</v>
      </c>
      <c r="M58" s="147" t="s">
        <v>55</v>
      </c>
      <c r="N58" s="136"/>
      <c r="O58" s="136"/>
      <c r="P58" s="136"/>
      <c r="Q58" s="136"/>
      <c r="R58" s="136"/>
      <c r="S58" s="136"/>
      <c r="T58" s="136"/>
      <c r="U58" s="137"/>
      <c r="V58" s="3">
        <f>SUM(V54:V57)</f>
        <v>0</v>
      </c>
      <c r="W58" s="11"/>
    </row>
    <row r="59" spans="2:23" ht="6" customHeight="1">
      <c r="B59" s="66"/>
      <c r="C59" s="101"/>
      <c r="D59" s="31"/>
      <c r="E59" s="31"/>
      <c r="F59" s="79"/>
      <c r="G59" s="77"/>
      <c r="H59" s="77"/>
      <c r="I59" s="77"/>
      <c r="J59" s="77"/>
      <c r="K59" s="77"/>
      <c r="L59" s="77"/>
      <c r="M59" s="78"/>
      <c r="N59" s="47"/>
      <c r="O59" s="84"/>
      <c r="P59" s="17"/>
      <c r="Q59" s="17"/>
      <c r="R59" s="17"/>
      <c r="S59" s="17"/>
      <c r="T59" s="17"/>
      <c r="U59" s="17"/>
      <c r="V59" s="17"/>
      <c r="W59" s="11"/>
    </row>
    <row r="60" spans="2:23" ht="12.75" customHeight="1">
      <c r="B60" s="151" t="s">
        <v>41</v>
      </c>
      <c r="C60" s="152"/>
      <c r="D60" s="152"/>
      <c r="E60" s="152"/>
      <c r="F60" s="76"/>
      <c r="G60" s="1">
        <f>G40+G46+G52+G58</f>
        <v>38.025</v>
      </c>
      <c r="H60" s="1">
        <f>H40+H46+H52+H58</f>
        <v>4.32</v>
      </c>
      <c r="I60" s="1">
        <f>I40+I46+I52+I58</f>
        <v>10.394999999999998</v>
      </c>
      <c r="J60" s="1">
        <f>J40+J46+J52+J58</f>
        <v>5.625</v>
      </c>
      <c r="K60" s="7">
        <f>K40+K46+K52+K58</f>
        <v>17.112</v>
      </c>
      <c r="L60" s="3">
        <f t="shared" si="1"/>
        <v>75.47699999999999</v>
      </c>
      <c r="M60" s="128" t="s">
        <v>55</v>
      </c>
      <c r="N60" s="140"/>
      <c r="O60" s="140"/>
      <c r="P60" s="140"/>
      <c r="Q60" s="140"/>
      <c r="R60" s="140"/>
      <c r="S60" s="140"/>
      <c r="T60" s="140"/>
      <c r="U60" s="141"/>
      <c r="V60" s="3">
        <f>V40+V46+V52+V58</f>
        <v>0</v>
      </c>
      <c r="W60" s="11"/>
    </row>
    <row r="61" spans="2:23" ht="6" customHeight="1">
      <c r="B61" s="74"/>
      <c r="C61" s="63"/>
      <c r="D61" s="104"/>
      <c r="E61" s="104"/>
      <c r="F61" s="102"/>
      <c r="G61" s="91"/>
      <c r="H61" s="91"/>
      <c r="I61" s="91"/>
      <c r="J61" s="91"/>
      <c r="K61" s="91"/>
      <c r="L61" s="81"/>
      <c r="M61" s="81"/>
      <c r="N61" s="25"/>
      <c r="O61" s="18"/>
      <c r="P61" s="18"/>
      <c r="Q61" s="18"/>
      <c r="R61" s="18"/>
      <c r="S61" s="18"/>
      <c r="T61" s="18"/>
      <c r="U61" s="18"/>
      <c r="V61" s="18"/>
      <c r="W61" s="12"/>
    </row>
    <row r="62" spans="2:23" ht="6" customHeight="1">
      <c r="B62" s="148" t="s">
        <v>28</v>
      </c>
      <c r="C62" s="149"/>
      <c r="D62" s="102"/>
      <c r="E62" s="102"/>
      <c r="F62" s="13"/>
      <c r="G62" s="102"/>
      <c r="H62" s="102"/>
      <c r="I62" s="102"/>
      <c r="J62" s="102"/>
      <c r="K62" s="102"/>
      <c r="L62" s="13"/>
      <c r="M62" s="13"/>
      <c r="N62" s="13"/>
      <c r="O62" s="21"/>
      <c r="P62" s="21"/>
      <c r="Q62" s="21"/>
      <c r="R62" s="21"/>
      <c r="S62" s="21"/>
      <c r="T62" s="21"/>
      <c r="U62" s="21"/>
      <c r="V62" s="21"/>
      <c r="W62" s="11"/>
    </row>
    <row r="63" spans="2:23" ht="12.75" customHeight="1">
      <c r="B63" s="150"/>
      <c r="C63" s="146"/>
      <c r="D63" s="153" t="s">
        <v>34</v>
      </c>
      <c r="E63" s="85">
        <v>33</v>
      </c>
      <c r="F63" s="9"/>
      <c r="G63" s="33">
        <f>C3*0.08*0.22*0.53</f>
        <v>1.3992000000000002</v>
      </c>
      <c r="H63" s="34">
        <f>C3*0.08*0.22*0.05</f>
        <v>0.132</v>
      </c>
      <c r="I63" s="34">
        <f>C3*0.08*0.22*0.18</f>
        <v>0.4752</v>
      </c>
      <c r="J63" s="34">
        <f>C3*0.08*0.22*0.24</f>
        <v>0.6336</v>
      </c>
      <c r="K63" s="32">
        <f>C3*0.23*0.104*0.24</f>
        <v>0.8611199999999999</v>
      </c>
      <c r="L63" s="22">
        <f>SUM(G63:K63)</f>
        <v>3.5011200000000002</v>
      </c>
      <c r="M63" s="132" t="s">
        <v>53</v>
      </c>
      <c r="N63" s="10"/>
      <c r="O63" s="19"/>
      <c r="P63" s="20"/>
      <c r="Q63" s="20"/>
      <c r="R63" s="20"/>
      <c r="S63" s="20"/>
      <c r="T63" s="20"/>
      <c r="U63" s="20"/>
      <c r="V63" s="123">
        <f>SUM(O63:U63)</f>
        <v>0</v>
      </c>
      <c r="W63" s="11"/>
    </row>
    <row r="64" spans="2:23" ht="12.75">
      <c r="B64" s="150"/>
      <c r="C64" s="146"/>
      <c r="D64" s="162"/>
      <c r="E64" s="85">
        <v>34</v>
      </c>
      <c r="F64" s="9"/>
      <c r="G64" s="33">
        <f>C3*0.08*0.27*0.53</f>
        <v>1.7172000000000003</v>
      </c>
      <c r="H64" s="34">
        <f>C3*0.08*0.27*0.05</f>
        <v>0.16200000000000003</v>
      </c>
      <c r="I64" s="34">
        <f>C3*0.08*0.27*0.18</f>
        <v>0.5832</v>
      </c>
      <c r="J64" s="34">
        <f>C3*0.08*0.27*0.24</f>
        <v>0.7776000000000001</v>
      </c>
      <c r="K64" s="32">
        <f>C3*0.23*0.104*0.26</f>
        <v>0.9328799999999999</v>
      </c>
      <c r="L64" s="22">
        <f>SUM(G64:K64)</f>
        <v>4.172880000000001</v>
      </c>
      <c r="M64" s="160"/>
      <c r="N64" s="9"/>
      <c r="O64" s="15"/>
      <c r="P64" s="16"/>
      <c r="Q64" s="16"/>
      <c r="R64" s="16"/>
      <c r="S64" s="16"/>
      <c r="T64" s="16"/>
      <c r="U64" s="16"/>
      <c r="V64" s="123">
        <f>SUM(O64:U64)</f>
        <v>0</v>
      </c>
      <c r="W64" s="11"/>
    </row>
    <row r="65" spans="2:23" ht="12.75">
      <c r="B65" s="150"/>
      <c r="C65" s="146"/>
      <c r="D65" s="162"/>
      <c r="E65" s="85">
        <v>35</v>
      </c>
      <c r="F65" s="9"/>
      <c r="G65" s="33">
        <f>C3*0.08*0.33*0.53</f>
        <v>2.0988</v>
      </c>
      <c r="H65" s="34">
        <f>C3*0.08*0.33*0.05</f>
        <v>0.198</v>
      </c>
      <c r="I65" s="34">
        <f>C3*0.08*0.33*0.18</f>
        <v>0.7128</v>
      </c>
      <c r="J65" s="34">
        <f>C3*0.08*0.33*0.24</f>
        <v>0.9503999999999999</v>
      </c>
      <c r="K65" s="32">
        <f>C3*0.23*0.104*0.28</f>
        <v>1.00464</v>
      </c>
      <c r="L65" s="22">
        <f>SUM(G65:K65)</f>
        <v>4.96464</v>
      </c>
      <c r="M65" s="160"/>
      <c r="N65" s="9"/>
      <c r="O65" s="15"/>
      <c r="P65" s="16"/>
      <c r="Q65" s="16"/>
      <c r="R65" s="16"/>
      <c r="S65" s="16"/>
      <c r="T65" s="16"/>
      <c r="U65" s="16"/>
      <c r="V65" s="123">
        <f>SUM(O65:U65)</f>
        <v>0</v>
      </c>
      <c r="W65" s="11"/>
    </row>
    <row r="66" spans="2:23" ht="12.75">
      <c r="B66" s="150"/>
      <c r="C66" s="146"/>
      <c r="D66" s="163"/>
      <c r="E66" s="85">
        <v>36</v>
      </c>
      <c r="F66" s="9"/>
      <c r="G66" s="107">
        <f>C3*0.08*0.18*0.53</f>
        <v>1.1448</v>
      </c>
      <c r="H66" s="108">
        <f>C3*0.08*0.18*0.05</f>
        <v>0.10800000000000001</v>
      </c>
      <c r="I66" s="108">
        <f>C3*0.08*0.18*0.18</f>
        <v>0.38880000000000003</v>
      </c>
      <c r="J66" s="108">
        <f>C3*0.08*0.18*0.24</f>
        <v>0.5184</v>
      </c>
      <c r="K66" s="109">
        <f>C3*0.23*0.104*0.22</f>
        <v>0.78936</v>
      </c>
      <c r="L66" s="100">
        <f>SUM(G66:K66)</f>
        <v>2.94936</v>
      </c>
      <c r="M66" s="161"/>
      <c r="N66" s="9"/>
      <c r="O66" s="15"/>
      <c r="P66" s="16"/>
      <c r="Q66" s="16"/>
      <c r="R66" s="16"/>
      <c r="S66" s="16"/>
      <c r="T66" s="16"/>
      <c r="U66" s="16"/>
      <c r="V66" s="123">
        <f>SUM(O66:U66)</f>
        <v>0</v>
      </c>
      <c r="W66" s="11"/>
    </row>
    <row r="67" spans="2:23" ht="6" customHeight="1">
      <c r="B67" s="66"/>
      <c r="C67" s="105"/>
      <c r="D67" s="114"/>
      <c r="E67" s="47"/>
      <c r="F67" s="47"/>
      <c r="G67" s="112"/>
      <c r="H67" s="112"/>
      <c r="I67" s="112"/>
      <c r="J67" s="112"/>
      <c r="K67" s="113"/>
      <c r="L67" s="113"/>
      <c r="M67" s="106"/>
      <c r="N67" s="47"/>
      <c r="O67" s="115"/>
      <c r="P67" s="115"/>
      <c r="Q67" s="115"/>
      <c r="R67" s="115"/>
      <c r="S67" s="115"/>
      <c r="T67" s="115"/>
      <c r="U67" s="115"/>
      <c r="V67" s="115"/>
      <c r="W67" s="11"/>
    </row>
    <row r="68" spans="2:23" ht="12.75" customHeight="1">
      <c r="B68" s="145" t="s">
        <v>42</v>
      </c>
      <c r="C68" s="146"/>
      <c r="D68" s="146"/>
      <c r="E68" s="146"/>
      <c r="F68" s="76"/>
      <c r="G68" s="110">
        <f>SUM(G63:G66)</f>
        <v>6.360000000000001</v>
      </c>
      <c r="H68" s="110">
        <f>SUM(H63:H66)</f>
        <v>0.6000000000000001</v>
      </c>
      <c r="I68" s="110">
        <f>SUM(I63:I66)</f>
        <v>2.16</v>
      </c>
      <c r="J68" s="110">
        <f>SUM(J63:J66)</f>
        <v>2.88</v>
      </c>
      <c r="K68" s="110">
        <f>SUM(K63:K66)</f>
        <v>3.5879999999999996</v>
      </c>
      <c r="L68" s="111">
        <f>SUM(G68:K68)</f>
        <v>15.588</v>
      </c>
      <c r="M68" s="128" t="s">
        <v>55</v>
      </c>
      <c r="N68" s="138"/>
      <c r="O68" s="138"/>
      <c r="P68" s="138"/>
      <c r="Q68" s="138"/>
      <c r="R68" s="138"/>
      <c r="S68" s="138"/>
      <c r="T68" s="138"/>
      <c r="U68" s="139"/>
      <c r="V68" s="3">
        <f>SUM(V63:V66)</f>
        <v>0</v>
      </c>
      <c r="W68" s="11"/>
    </row>
    <row r="69" spans="2:23" ht="5.25" customHeight="1">
      <c r="B69" s="74"/>
      <c r="C69" s="142"/>
      <c r="D69" s="143"/>
      <c r="E69" s="143"/>
      <c r="F69" s="143"/>
      <c r="G69" s="144"/>
      <c r="H69" s="144"/>
      <c r="I69" s="144"/>
      <c r="J69" s="144"/>
      <c r="K69" s="144"/>
      <c r="L69" s="77"/>
      <c r="M69" s="81"/>
      <c r="N69" s="70"/>
      <c r="O69" s="70"/>
      <c r="P69" s="70"/>
      <c r="Q69" s="70"/>
      <c r="R69" s="70"/>
      <c r="S69" s="70"/>
      <c r="T69" s="70"/>
      <c r="U69" s="70"/>
      <c r="V69" s="70"/>
      <c r="W69" s="12"/>
    </row>
    <row r="70" spans="2:23" ht="5.25" customHeight="1">
      <c r="B70" s="65"/>
      <c r="C70" s="118"/>
      <c r="D70" s="119"/>
      <c r="E70" s="119"/>
      <c r="F70" s="119"/>
      <c r="G70" s="6"/>
      <c r="H70" s="6"/>
      <c r="I70" s="6"/>
      <c r="J70" s="6"/>
      <c r="K70" s="6"/>
      <c r="L70" s="77"/>
      <c r="M70" s="78"/>
      <c r="N70" s="5"/>
      <c r="O70" s="5"/>
      <c r="P70" s="5"/>
      <c r="Q70" s="5"/>
      <c r="R70" s="5"/>
      <c r="S70" s="5"/>
      <c r="T70" s="5"/>
      <c r="U70" s="5"/>
      <c r="V70" s="5"/>
      <c r="W70" s="75"/>
    </row>
    <row r="71" spans="2:23" ht="12.75" customHeight="1">
      <c r="B71" s="190" t="s">
        <v>9</v>
      </c>
      <c r="C71" s="191"/>
      <c r="D71" s="191"/>
      <c r="E71" s="191"/>
      <c r="F71" s="120"/>
      <c r="G71" s="2">
        <f>G33+G60+G68</f>
        <v>81.015</v>
      </c>
      <c r="H71" s="2">
        <f>H33+H60+H68</f>
        <v>10.950000000000001</v>
      </c>
      <c r="I71" s="2">
        <f>I33+I60+I68</f>
        <v>14.894999999999998</v>
      </c>
      <c r="J71" s="2">
        <f>J33+J60+J68</f>
        <v>8.504999999999999</v>
      </c>
      <c r="K71" s="8">
        <f>K13+K19+K25+K31+K40+K46+K52+K58+K68</f>
        <v>34.155</v>
      </c>
      <c r="L71" s="3">
        <f>SUM(G71:K71)</f>
        <v>149.51999999999998</v>
      </c>
      <c r="M71" s="187" t="s">
        <v>55</v>
      </c>
      <c r="N71" s="188"/>
      <c r="O71" s="188"/>
      <c r="P71" s="188"/>
      <c r="Q71" s="188"/>
      <c r="R71" s="188"/>
      <c r="S71" s="188"/>
      <c r="T71" s="188"/>
      <c r="U71" s="189"/>
      <c r="V71" s="124">
        <f>V33+V60+V68</f>
        <v>0</v>
      </c>
      <c r="W71" s="11"/>
    </row>
    <row r="72" spans="2:23" ht="5.25" customHeight="1">
      <c r="B72" s="74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2"/>
    </row>
  </sheetData>
  <mergeCells count="65">
    <mergeCell ref="M71:U71"/>
    <mergeCell ref="B71:E71"/>
    <mergeCell ref="U4:U5"/>
    <mergeCell ref="G4:J4"/>
    <mergeCell ref="G5:J5"/>
    <mergeCell ref="K4:K6"/>
    <mergeCell ref="M4:M6"/>
    <mergeCell ref="P4:P5"/>
    <mergeCell ref="Q4:Q5"/>
    <mergeCell ref="R4:R5"/>
    <mergeCell ref="C2:W2"/>
    <mergeCell ref="D42:D45"/>
    <mergeCell ref="D48:D51"/>
    <mergeCell ref="L3:L6"/>
    <mergeCell ref="C4:C6"/>
    <mergeCell ref="D13:E13"/>
    <mergeCell ref="G3:K3"/>
    <mergeCell ref="T4:T5"/>
    <mergeCell ref="O3:U3"/>
    <mergeCell ref="O4:O5"/>
    <mergeCell ref="S4:S5"/>
    <mergeCell ref="D31:E31"/>
    <mergeCell ref="D3:D6"/>
    <mergeCell ref="E3:E6"/>
    <mergeCell ref="D9:D12"/>
    <mergeCell ref="M21:M24"/>
    <mergeCell ref="V3:V6"/>
    <mergeCell ref="D19:E19"/>
    <mergeCell ref="M63:M66"/>
    <mergeCell ref="D25:E25"/>
    <mergeCell ref="D21:D24"/>
    <mergeCell ref="D63:D66"/>
    <mergeCell ref="D40:E40"/>
    <mergeCell ref="D46:E46"/>
    <mergeCell ref="D52:E52"/>
    <mergeCell ref="M46:U46"/>
    <mergeCell ref="B8:C31"/>
    <mergeCell ref="B33:E33"/>
    <mergeCell ref="B35:C58"/>
    <mergeCell ref="B62:C66"/>
    <mergeCell ref="B60:E60"/>
    <mergeCell ref="D54:D57"/>
    <mergeCell ref="D58:E58"/>
    <mergeCell ref="D15:D18"/>
    <mergeCell ref="D36:D39"/>
    <mergeCell ref="D27:D30"/>
    <mergeCell ref="M68:U68"/>
    <mergeCell ref="M60:U60"/>
    <mergeCell ref="M33:U33"/>
    <mergeCell ref="C69:K69"/>
    <mergeCell ref="B68:E68"/>
    <mergeCell ref="M52:U52"/>
    <mergeCell ref="M54:M57"/>
    <mergeCell ref="M58:U58"/>
    <mergeCell ref="M40:U40"/>
    <mergeCell ref="M42:M45"/>
    <mergeCell ref="M48:M51"/>
    <mergeCell ref="M9:M12"/>
    <mergeCell ref="M13:U13"/>
    <mergeCell ref="M15:M18"/>
    <mergeCell ref="M19:U19"/>
    <mergeCell ref="M25:U25"/>
    <mergeCell ref="M27:M30"/>
    <mergeCell ref="M31:U31"/>
    <mergeCell ref="M36:M39"/>
  </mergeCells>
  <printOptions horizontalCentered="1" verticalCentered="1"/>
  <pageMargins left="0.4724409448818898" right="0.4724409448818898" top="0.7874015748031497" bottom="0.7874015748031497" header="0.31496062992125984" footer="0.31496062992125984"/>
  <pageSetup fitToHeight="1" fitToWidth="1" horizontalDpi="1200" verticalDpi="1200" orientation="portrait" paperSize="9" scale="67" r:id="rId1"/>
  <headerFooter alignWithMargins="0">
    <oddFooter xml:space="preserve">&amp;L&amp;9christopher_lourens@hotmail.com&amp;C&amp;F&amp;RPage 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 Lourens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Lourens</dc:creator>
  <cp:keywords/>
  <dc:description/>
  <cp:lastModifiedBy>Peter Campbell</cp:lastModifiedBy>
  <cp:lastPrinted>2005-11-17T14:10:30Z</cp:lastPrinted>
  <dcterms:created xsi:type="dcterms:W3CDTF">2005-10-19T14:16:42Z</dcterms:created>
  <dcterms:modified xsi:type="dcterms:W3CDTF">2006-08-21T11:48:57Z</dcterms:modified>
  <cp:category/>
  <cp:version/>
  <cp:contentType/>
  <cp:contentStatus/>
</cp:coreProperties>
</file>